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СОГЛАШЕНИЯ\соглашения с ЗР на 2017\ОТЧЕТЫ\на 01.01.2018\5. Комплексная\"/>
    </mc:Choice>
  </mc:AlternateContent>
  <bookViews>
    <workbookView xWindow="720" yWindow="2385" windowWidth="19440" windowHeight="10320" firstSheet="6" activeTab="11"/>
  </bookViews>
  <sheets>
    <sheet name="Подпрограмма 1" sheetId="3" r:id="rId1"/>
    <sheet name="Подпрограмма 1(2)" sheetId="13" r:id="rId2"/>
    <sheet name="Подпрограмма 2" sheetId="4" r:id="rId3"/>
    <sheet name="Подпрограмма 2(2)" sheetId="14" r:id="rId4"/>
    <sheet name="Подпрограмма 3" sheetId="8" r:id="rId5"/>
    <sheet name="Подпрограмма 3 (2)" sheetId="17" r:id="rId6"/>
    <sheet name="Подпрограмма 4" sheetId="9" r:id="rId7"/>
    <sheet name="Подпрограмма 4 (2)" sheetId="16" r:id="rId8"/>
    <sheet name="Подпрограмма 5" sheetId="5" r:id="rId9"/>
    <sheet name="Подпрограмма 5 (2)" sheetId="12" r:id="rId10"/>
    <sheet name="Подпрограмма 6" sheetId="11" r:id="rId11"/>
    <sheet name="Подпрограмма 6 (2)" sheetId="15" r:id="rId12"/>
    <sheet name="Лист1" sheetId="18" r:id="rId13"/>
  </sheets>
  <definedNames>
    <definedName name="_xlnm._FilterDatabase" localSheetId="0" hidden="1">'Подпрограмма 1'!$A$1:$O$44</definedName>
    <definedName name="_xlnm._FilterDatabase" localSheetId="8" hidden="1">'Подпрограмма 5'!$A$1:$P$95</definedName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1(2)'!#REF!</definedName>
    <definedName name="sub_14000" localSheetId="3">'Подпрограмма 2(2)'!#REF!</definedName>
    <definedName name="sub_14000" localSheetId="5">'Подпрограмма 3 (2)'!#REF!</definedName>
    <definedName name="sub_14000" localSheetId="7">'Подпрограмма 4 (2)'!#REF!</definedName>
    <definedName name="sub_14000" localSheetId="9">'Подпрограмма 5 (2)'!#REF!</definedName>
    <definedName name="sub_14000" localSheetId="11">'Подпрограмма 6 (2)'!#REF!</definedName>
    <definedName name="Z_359C8E5E_9871_416C_8416_05D2A4FF5688_.wvu.PrintArea" localSheetId="1" hidden="1">'Подпрограмма 1(2)'!$A$1:$N$45</definedName>
    <definedName name="Z_359C8E5E_9871_416C_8416_05D2A4FF5688_.wvu.PrintArea" localSheetId="3" hidden="1">'Подпрограмма 2(2)'!$A$1:$M$17</definedName>
    <definedName name="Z_359C8E5E_9871_416C_8416_05D2A4FF5688_.wvu.PrintArea" localSheetId="5" hidden="1">'Подпрограмма 3 (2)'!$A$1:$N$12</definedName>
    <definedName name="Z_359C8E5E_9871_416C_8416_05D2A4FF5688_.wvu.PrintArea" localSheetId="7" hidden="1">'Подпрограмма 4 (2)'!$A$1:$N$26</definedName>
    <definedName name="Z_359C8E5E_9871_416C_8416_05D2A4FF5688_.wvu.PrintArea" localSheetId="9" hidden="1">'Подпрограмма 5 (2)'!$A$1:$N$34</definedName>
    <definedName name="Z_359C8E5E_9871_416C_8416_05D2A4FF5688_.wvu.PrintArea" localSheetId="11" hidden="1">'Подпрограмма 6 (2)'!$A$1:$N$10</definedName>
    <definedName name="Z_676C7EBD_E16D_4DD0_B42E_F8075547C9A3_.wvu.PrintArea" localSheetId="1" hidden="1">'Подпрограмма 1(2)'!$A$1:$N$45</definedName>
    <definedName name="Z_676C7EBD_E16D_4DD0_B42E_F8075547C9A3_.wvu.PrintArea" localSheetId="3" hidden="1">'Подпрограмма 2(2)'!$A$1:$M$17</definedName>
    <definedName name="Z_676C7EBD_E16D_4DD0_B42E_F8075547C9A3_.wvu.PrintArea" localSheetId="5" hidden="1">'Подпрограмма 3 (2)'!$A$1:$N$12</definedName>
    <definedName name="Z_676C7EBD_E16D_4DD0_B42E_F8075547C9A3_.wvu.PrintArea" localSheetId="7" hidden="1">'Подпрограмма 4 (2)'!$A$1:$N$26</definedName>
    <definedName name="Z_676C7EBD_E16D_4DD0_B42E_F8075547C9A3_.wvu.PrintArea" localSheetId="9" hidden="1">'Подпрограмма 5 (2)'!$A$1:$N$34</definedName>
    <definedName name="Z_676C7EBD_E16D_4DD0_B42E_F8075547C9A3_.wvu.PrintArea" localSheetId="11" hidden="1">'Подпрограмма 6 (2)'!$A$1:$N$10</definedName>
    <definedName name="Z_79A8BF50_58E9_46AC_AFD7_D75F740A8CFE_.wvu.PrintArea" localSheetId="1" hidden="1">'Подпрограмма 1(2)'!$A$1:$N$45</definedName>
    <definedName name="Z_79A8BF50_58E9_46AC_AFD7_D75F740A8CFE_.wvu.PrintArea" localSheetId="3" hidden="1">'Подпрограмма 2(2)'!$A$1:$M$17</definedName>
    <definedName name="Z_79A8BF50_58E9_46AC_AFD7_D75F740A8CFE_.wvu.PrintArea" localSheetId="5" hidden="1">'Подпрограмма 3 (2)'!$A$1:$N$12</definedName>
    <definedName name="Z_79A8BF50_58E9_46AC_AFD7_D75F740A8CFE_.wvu.PrintArea" localSheetId="7" hidden="1">'Подпрограмма 4 (2)'!$A$1:$N$26</definedName>
    <definedName name="Z_79A8BF50_58E9_46AC_AFD7_D75F740A8CFE_.wvu.PrintArea" localSheetId="9" hidden="1">'Подпрограмма 5 (2)'!$A$1:$N$34</definedName>
    <definedName name="Z_79A8BF50_58E9_46AC_AFD7_D75F740A8CFE_.wvu.PrintArea" localSheetId="11" hidden="1">'Подпрограмма 6 (2)'!$A$1:$N$10</definedName>
    <definedName name="Z_F75B3EC3_CC43_4B33_913D_5D7444E65C48_.wvu.PrintArea" localSheetId="1" hidden="1">'Подпрограмма 1(2)'!$A$1:$N$45</definedName>
    <definedName name="Z_F75B3EC3_CC43_4B33_913D_5D7444E65C48_.wvu.PrintArea" localSheetId="3" hidden="1">'Подпрограмма 2(2)'!$A$1:$M$17</definedName>
    <definedName name="Z_F75B3EC3_CC43_4B33_913D_5D7444E65C48_.wvu.PrintArea" localSheetId="5" hidden="1">'Подпрограмма 3 (2)'!$A$1:$N$12</definedName>
    <definedName name="Z_F75B3EC3_CC43_4B33_913D_5D7444E65C48_.wvu.PrintArea" localSheetId="7" hidden="1">'Подпрограмма 4 (2)'!$A$1:$N$26</definedName>
    <definedName name="Z_F75B3EC3_CC43_4B33_913D_5D7444E65C48_.wvu.PrintArea" localSheetId="9" hidden="1">'Подпрограмма 5 (2)'!$A$1:$N$34</definedName>
    <definedName name="Z_F75B3EC3_CC43_4B33_913D_5D7444E65C48_.wvu.PrintArea" localSheetId="11" hidden="1">'Подпрограмма 6 (2)'!$A$1:$N$10</definedName>
    <definedName name="_xlnm.Print_Titles" localSheetId="0">'Подпрограмма 1'!$3:$3</definedName>
    <definedName name="_xlnm.Print_Titles" localSheetId="1">'Подпрограмма 1(2)'!$3:$6</definedName>
    <definedName name="_xlnm.Print_Titles" localSheetId="2">'Подпрограмма 2'!$3:$5</definedName>
    <definedName name="_xlnm.Print_Titles" localSheetId="3">'Подпрограмма 2(2)'!$3:$6</definedName>
    <definedName name="_xlnm.Print_Titles" localSheetId="4">'Подпрограмма 3'!$3:$4</definedName>
    <definedName name="_xlnm.Print_Titles" localSheetId="5">'Подпрограмма 3 (2)'!$3:$6</definedName>
    <definedName name="_xlnm.Print_Titles" localSheetId="6">'Подпрограмма 4'!$3:$4</definedName>
    <definedName name="_xlnm.Print_Titles" localSheetId="7">'Подпрограмма 4 (2)'!$3:$5</definedName>
    <definedName name="_xlnm.Print_Titles" localSheetId="8">'Подпрограмма 5'!$3:$4</definedName>
    <definedName name="_xlnm.Print_Titles" localSheetId="9">'Подпрограмма 5 (2)'!$3:$6</definedName>
    <definedName name="_xlnm.Print_Titles" localSheetId="10">'Подпрограмма 6'!$3:$4</definedName>
    <definedName name="_xlnm.Print_Area" localSheetId="0">'Подпрограмма 1'!$A$1:$O$44</definedName>
    <definedName name="_xlnm.Print_Area" localSheetId="1">'Подпрограмма 1(2)'!$A$1:$M$45</definedName>
    <definedName name="_xlnm.Print_Area" localSheetId="2">'Подпрограмма 2'!$A$1:$O$73</definedName>
    <definedName name="_xlnm.Print_Area" localSheetId="3">'Подпрограмма 2(2)'!$A$1:$M$17</definedName>
    <definedName name="_xlnm.Print_Area" localSheetId="4">'Подпрограмма 3'!$A$1:$U$13</definedName>
    <definedName name="_xlnm.Print_Area" localSheetId="5">'Подпрограмма 3 (2)'!$A$1:$M$12</definedName>
    <definedName name="_xlnm.Print_Area" localSheetId="6">'Подпрограмма 4'!$A$1:$R$37</definedName>
    <definedName name="_xlnm.Print_Area" localSheetId="7">'Подпрограмма 4 (2)'!$A$1:$M$26</definedName>
    <definedName name="_xlnm.Print_Area" localSheetId="8">'Подпрограмма 5'!$A$1:$P$95</definedName>
    <definedName name="_xlnm.Print_Area" localSheetId="9">'Подпрограмма 5 (2)'!$A$1:$M$34</definedName>
    <definedName name="_xlnm.Print_Area" localSheetId="10">'Подпрограмма 6'!$A$1:$U$30</definedName>
    <definedName name="_xlnm.Print_Area" localSheetId="11">'Подпрограмма 6 (2)'!$A$1:$M$10</definedName>
  </definedNames>
  <calcPr calcId="152511"/>
</workbook>
</file>

<file path=xl/calcChain.xml><?xml version="1.0" encoding="utf-8"?>
<calcChain xmlns="http://schemas.openxmlformats.org/spreadsheetml/2006/main">
  <c r="B16" i="12" l="1"/>
  <c r="G12" i="12" l="1"/>
  <c r="B22" i="12" l="1"/>
  <c r="B29" i="12"/>
  <c r="K18" i="12" l="1"/>
  <c r="M18" i="12"/>
  <c r="G18" i="12" l="1"/>
  <c r="A19" i="12"/>
  <c r="A20" i="12" s="1"/>
  <c r="A21" i="12" s="1"/>
  <c r="A18" i="12"/>
  <c r="B18" i="12"/>
  <c r="I16" i="13" l="1"/>
  <c r="I15" i="13"/>
  <c r="G32" i="12" l="1"/>
  <c r="G27" i="12" l="1"/>
  <c r="G26" i="12"/>
  <c r="G25" i="12"/>
  <c r="G19" i="12"/>
  <c r="G21" i="12"/>
  <c r="B19" i="12"/>
  <c r="M33" i="12" l="1"/>
  <c r="K33" i="12" s="1"/>
  <c r="M32" i="12"/>
  <c r="M31" i="12"/>
  <c r="K31" i="12" s="1"/>
  <c r="M25" i="12"/>
  <c r="M26" i="12"/>
  <c r="M27" i="12"/>
  <c r="M28" i="12"/>
  <c r="K28" i="12" s="1"/>
  <c r="M29" i="12"/>
  <c r="K29" i="12" s="1"/>
  <c r="M24" i="12"/>
  <c r="M23" i="12"/>
  <c r="M20" i="12"/>
  <c r="M21" i="12"/>
  <c r="M22" i="12"/>
  <c r="M19" i="12"/>
  <c r="M17" i="12"/>
  <c r="K17" i="12" s="1"/>
  <c r="M16" i="12"/>
  <c r="K16" i="12" s="1"/>
  <c r="M15" i="12"/>
  <c r="M13" i="12"/>
  <c r="M14" i="12"/>
  <c r="M12" i="12"/>
  <c r="K12" i="12" s="1"/>
  <c r="M8" i="12"/>
  <c r="M9" i="12"/>
  <c r="M10" i="12"/>
  <c r="M11" i="12"/>
  <c r="M30" i="12"/>
  <c r="B31" i="12"/>
  <c r="B28" i="12"/>
  <c r="B30" i="12"/>
  <c r="B21" i="12"/>
  <c r="B17" i="12"/>
  <c r="G17" i="12"/>
  <c r="M10" i="16" l="1"/>
  <c r="K10" i="16" s="1"/>
  <c r="M17" i="16"/>
  <c r="K17" i="16" s="1"/>
  <c r="M18" i="16"/>
  <c r="K18" i="16" s="1"/>
  <c r="K20" i="16"/>
  <c r="K21" i="16"/>
  <c r="K22" i="16"/>
  <c r="K23" i="16"/>
  <c r="K24" i="16"/>
  <c r="M20" i="16"/>
  <c r="M21" i="16"/>
  <c r="M22" i="16"/>
  <c r="M23" i="16"/>
  <c r="M24" i="16"/>
  <c r="B21" i="16"/>
  <c r="B22" i="16"/>
  <c r="B23" i="16"/>
  <c r="B24" i="16"/>
  <c r="A18" i="16"/>
  <c r="B18" i="16"/>
  <c r="K16" i="14"/>
  <c r="M17" i="14" l="1"/>
  <c r="K14" i="14"/>
  <c r="K15" i="14"/>
  <c r="K9" i="14"/>
  <c r="K10" i="14"/>
  <c r="K11" i="14"/>
  <c r="K12" i="14"/>
  <c r="B12" i="14"/>
  <c r="M7" i="14"/>
  <c r="K7" i="14" s="1"/>
  <c r="G23" i="13"/>
  <c r="L45" i="13"/>
  <c r="M45" i="13"/>
  <c r="K45" i="13"/>
  <c r="M43" i="13"/>
  <c r="K43" i="13" s="1"/>
  <c r="M44" i="13"/>
  <c r="K44" i="13"/>
  <c r="B42" i="13"/>
  <c r="A43" i="13"/>
  <c r="B43" i="13"/>
  <c r="A44" i="13"/>
  <c r="B44" i="13"/>
  <c r="M40" i="13"/>
  <c r="K40" i="13" s="1"/>
  <c r="M41" i="13"/>
  <c r="K41" i="13" s="1"/>
  <c r="B39" i="13"/>
  <c r="A40" i="13"/>
  <c r="B40" i="13"/>
  <c r="A41" i="13"/>
  <c r="B41" i="13"/>
  <c r="M32" i="13"/>
  <c r="K32" i="13" s="1"/>
  <c r="M33" i="13"/>
  <c r="K33" i="13" s="1"/>
  <c r="A32" i="13"/>
  <c r="B32" i="13"/>
  <c r="A33" i="13"/>
  <c r="B33" i="13"/>
  <c r="M36" i="13"/>
  <c r="K36" i="13" s="1"/>
  <c r="M14" i="13"/>
  <c r="M15" i="13"/>
  <c r="M16" i="13"/>
  <c r="M17" i="13"/>
  <c r="M18" i="13"/>
  <c r="M19" i="13"/>
  <c r="M20" i="13"/>
  <c r="M21" i="13"/>
  <c r="M22" i="13"/>
  <c r="M23" i="13"/>
  <c r="K23" i="13" s="1"/>
  <c r="M24" i="13"/>
  <c r="K24" i="13" s="1"/>
  <c r="M25" i="13"/>
  <c r="M26" i="13"/>
  <c r="M27" i="13"/>
  <c r="K27" i="13" s="1"/>
  <c r="M28" i="13"/>
  <c r="K28" i="13" s="1"/>
  <c r="M29" i="13"/>
  <c r="K29" i="13" s="1"/>
  <c r="M30" i="13"/>
  <c r="M31" i="13"/>
  <c r="K31" i="13" s="1"/>
  <c r="K25" i="13"/>
  <c r="K30" i="13"/>
  <c r="A9" i="13"/>
  <c r="A10" i="13"/>
  <c r="A11" i="13"/>
  <c r="M9" i="3" l="1"/>
  <c r="J9" i="3"/>
  <c r="R29" i="11" l="1"/>
  <c r="S6" i="8" l="1"/>
  <c r="N6" i="8"/>
  <c r="I26" i="9" l="1"/>
  <c r="P26" i="9"/>
  <c r="P25" i="9"/>
  <c r="I25" i="9"/>
  <c r="P24" i="9"/>
  <c r="I24" i="9"/>
  <c r="N23" i="9"/>
  <c r="P23" i="9"/>
  <c r="P19" i="9"/>
  <c r="I19" i="9"/>
  <c r="I17" i="9"/>
  <c r="P17" i="9"/>
  <c r="M17" i="9"/>
  <c r="P16" i="9"/>
  <c r="M16" i="9" s="1"/>
  <c r="I16" i="9"/>
  <c r="P15" i="9"/>
  <c r="M15" i="9" s="1"/>
  <c r="I15" i="9"/>
  <c r="M14" i="9"/>
  <c r="P14" i="9"/>
  <c r="I14" i="9"/>
  <c r="P13" i="9"/>
  <c r="M13" i="9" s="1"/>
  <c r="I13" i="9"/>
  <c r="M22" i="9"/>
  <c r="I22" i="9"/>
  <c r="P20" i="9" l="1"/>
  <c r="P6" i="9"/>
  <c r="L20" i="9"/>
  <c r="L12" i="9"/>
  <c r="L11" i="9"/>
  <c r="L10" i="9"/>
  <c r="L9" i="9"/>
  <c r="L8" i="9"/>
  <c r="L6" i="9" s="1"/>
  <c r="K70" i="5"/>
  <c r="P37" i="9" l="1"/>
  <c r="L37" i="9"/>
  <c r="K9" i="5" l="1"/>
  <c r="N89" i="5"/>
  <c r="L89" i="5"/>
  <c r="I89" i="5"/>
  <c r="K88" i="5" l="1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K51" i="5"/>
  <c r="N51" i="5" s="1"/>
  <c r="K40" i="5"/>
  <c r="N40" i="5" s="1"/>
  <c r="N38" i="5"/>
  <c r="K38" i="5"/>
  <c r="K44" i="5"/>
  <c r="N44" i="5" s="1"/>
  <c r="N43" i="5"/>
  <c r="K47" i="5"/>
  <c r="N47" i="5" s="1"/>
  <c r="K46" i="5"/>
  <c r="N46" i="5" s="1"/>
  <c r="K41" i="5"/>
  <c r="N41" i="5" s="1"/>
  <c r="K39" i="5"/>
  <c r="N39" i="5" s="1"/>
  <c r="N37" i="5"/>
  <c r="K36" i="5"/>
  <c r="N36" i="5" s="1"/>
  <c r="N50" i="5"/>
  <c r="K50" i="5"/>
  <c r="K42" i="5"/>
  <c r="N42" i="5" s="1"/>
  <c r="K35" i="5"/>
  <c r="N35" i="5" s="1"/>
  <c r="K34" i="5"/>
  <c r="N34" i="5" s="1"/>
  <c r="I34" i="5"/>
  <c r="N33" i="5"/>
  <c r="N75" i="5" l="1"/>
  <c r="K74" i="5"/>
  <c r="N74" i="5" l="1"/>
  <c r="N78" i="5"/>
  <c r="N9" i="5"/>
  <c r="M8" i="5"/>
  <c r="K8" i="5"/>
  <c r="N8" i="5" s="1"/>
  <c r="L8" i="5" s="1"/>
  <c r="N72" i="5"/>
  <c r="I72" i="5"/>
  <c r="N94" i="5"/>
  <c r="L94" i="5" s="1"/>
  <c r="N93" i="5"/>
  <c r="N30" i="5"/>
  <c r="N14" i="5"/>
  <c r="L14" i="5" s="1"/>
  <c r="O25" i="9"/>
  <c r="N25" i="9"/>
  <c r="M25" i="9" s="1"/>
  <c r="K23" i="9"/>
  <c r="O24" i="9"/>
  <c r="M24" i="9" s="1"/>
  <c r="N88" i="5"/>
  <c r="N85" i="5"/>
  <c r="K85" i="5"/>
  <c r="O23" i="9" l="1"/>
  <c r="M23" i="9" s="1"/>
  <c r="I23" i="9"/>
  <c r="L72" i="5"/>
  <c r="N70" i="5"/>
  <c r="I8" i="5"/>
  <c r="O30" i="9"/>
  <c r="O29" i="9"/>
  <c r="M29" i="9" s="1"/>
  <c r="O31" i="9"/>
  <c r="E21" i="9" l="1"/>
  <c r="N6" i="9"/>
  <c r="J6" i="9"/>
  <c r="I11" i="9"/>
  <c r="E18" i="9"/>
  <c r="E9" i="9"/>
  <c r="E7" i="9"/>
  <c r="K7" i="9" l="1"/>
  <c r="I7" i="9" s="1"/>
  <c r="O10" i="9"/>
  <c r="O9" i="9"/>
  <c r="O21" i="9"/>
  <c r="K21" i="9"/>
  <c r="O26" i="9"/>
  <c r="M26" i="9" s="1"/>
  <c r="O19" i="9"/>
  <c r="M19" i="9" s="1"/>
  <c r="Q7" i="9" l="1"/>
  <c r="O7" i="9"/>
  <c r="O6" i="9" s="1"/>
  <c r="K12" i="9"/>
  <c r="K6" i="9" s="1"/>
  <c r="M11" i="9"/>
  <c r="M11" i="17" l="1"/>
  <c r="K11" i="17" s="1"/>
  <c r="B11" i="17"/>
  <c r="O11" i="8"/>
  <c r="O10" i="8"/>
  <c r="J10" i="8"/>
  <c r="M10" i="17" l="1"/>
  <c r="K10" i="17" s="1"/>
  <c r="M9" i="17"/>
  <c r="S8" i="8"/>
  <c r="S13" i="8" s="1"/>
  <c r="N8" i="8"/>
  <c r="N13" i="8" s="1"/>
  <c r="P8" i="8"/>
  <c r="F8" i="8"/>
  <c r="F13" i="8" s="1"/>
  <c r="G8" i="8"/>
  <c r="H8" i="8"/>
  <c r="K8" i="8"/>
  <c r="L8" i="8"/>
  <c r="M8" i="8"/>
  <c r="J11" i="8"/>
  <c r="H7" i="8"/>
  <c r="M7" i="8"/>
  <c r="Q8" i="8" l="1"/>
  <c r="F71" i="4"/>
  <c r="G71" i="4"/>
  <c r="H71" i="4"/>
  <c r="I71" i="4"/>
  <c r="J71" i="4"/>
  <c r="L71" i="4"/>
  <c r="M71" i="4"/>
  <c r="F66" i="4"/>
  <c r="G66" i="4"/>
  <c r="I66" i="4"/>
  <c r="J66" i="4"/>
  <c r="L66" i="4"/>
  <c r="M66" i="4"/>
  <c r="F62" i="4"/>
  <c r="G62" i="4"/>
  <c r="I62" i="4"/>
  <c r="J62" i="4"/>
  <c r="L62" i="4"/>
  <c r="M62" i="4"/>
  <c r="F42" i="4"/>
  <c r="F41" i="4" s="1"/>
  <c r="G42" i="4"/>
  <c r="I42" i="4"/>
  <c r="I41" i="4" s="1"/>
  <c r="J42" i="4"/>
  <c r="L42" i="4"/>
  <c r="L41" i="4" s="1"/>
  <c r="M42" i="4"/>
  <c r="K72" i="4"/>
  <c r="K71" i="4" s="1"/>
  <c r="H72" i="4"/>
  <c r="M24" i="4"/>
  <c r="K35" i="4"/>
  <c r="H35" i="4"/>
  <c r="E35" i="4"/>
  <c r="N35" i="4" s="1"/>
  <c r="O35" i="4" l="1"/>
  <c r="K24" i="3"/>
  <c r="K22" i="3"/>
  <c r="I11" i="3"/>
  <c r="L11" i="3"/>
  <c r="H24" i="3" l="1"/>
  <c r="H22" i="3"/>
  <c r="K18" i="3"/>
  <c r="J18" i="3"/>
  <c r="H18" i="3" s="1"/>
  <c r="K17" i="3"/>
  <c r="H17" i="3"/>
  <c r="K15" i="3"/>
  <c r="I6" i="3"/>
  <c r="J6" i="3"/>
  <c r="L6" i="3"/>
  <c r="K10" i="3"/>
  <c r="H10" i="3"/>
  <c r="H9" i="3"/>
  <c r="M6" i="3" l="1"/>
  <c r="J11" i="3"/>
  <c r="K9" i="3"/>
  <c r="M11" i="3"/>
  <c r="H15" i="3"/>
  <c r="K23" i="3"/>
  <c r="H23" i="3"/>
  <c r="H30" i="3"/>
  <c r="H31" i="3"/>
  <c r="H32" i="3"/>
  <c r="K29" i="3"/>
  <c r="K30" i="3"/>
  <c r="K31" i="3"/>
  <c r="K32" i="3"/>
  <c r="H29" i="3"/>
  <c r="K28" i="3"/>
  <c r="H28" i="3"/>
  <c r="K27" i="3"/>
  <c r="H27" i="3"/>
  <c r="K26" i="3"/>
  <c r="H26" i="3"/>
  <c r="K20" i="3"/>
  <c r="K43" i="3"/>
  <c r="K42" i="3"/>
  <c r="H43" i="3"/>
  <c r="H42" i="3"/>
  <c r="J15" i="5"/>
  <c r="K15" i="5"/>
  <c r="M15" i="5"/>
  <c r="N15" i="5"/>
  <c r="L10" i="15"/>
  <c r="O29" i="11" l="1"/>
  <c r="M8" i="15" s="1"/>
  <c r="K8" i="15" s="1"/>
  <c r="S27" i="11"/>
  <c r="S30" i="11" s="1"/>
  <c r="R27" i="11"/>
  <c r="Q27" i="11"/>
  <c r="P27" i="11"/>
  <c r="N27" i="11"/>
  <c r="N30" i="11" s="1"/>
  <c r="M27" i="11"/>
  <c r="J27" i="11" s="1"/>
  <c r="L27" i="11"/>
  <c r="K27" i="11"/>
  <c r="J29" i="11"/>
  <c r="O27" i="11" l="1"/>
  <c r="O28" i="11"/>
  <c r="J28" i="11"/>
  <c r="O26" i="11"/>
  <c r="J26" i="11"/>
  <c r="F6" i="11" l="1"/>
  <c r="G6" i="11"/>
  <c r="K6" i="11"/>
  <c r="L6" i="11"/>
  <c r="M6" i="11"/>
  <c r="P6" i="11"/>
  <c r="Q6" i="11"/>
  <c r="R6" i="11"/>
  <c r="E23" i="11"/>
  <c r="I23" i="11"/>
  <c r="J23" i="11"/>
  <c r="T23" i="11" s="1"/>
  <c r="O23" i="11"/>
  <c r="I28" i="11"/>
  <c r="I27" i="11" s="1"/>
  <c r="J11" i="11"/>
  <c r="H11" i="11"/>
  <c r="H6" i="11" s="1"/>
  <c r="I26" i="11"/>
  <c r="I25" i="11"/>
  <c r="I11" i="11"/>
  <c r="I9" i="11"/>
  <c r="I8" i="11"/>
  <c r="I22" i="11"/>
  <c r="I21" i="11"/>
  <c r="I20" i="11"/>
  <c r="I19" i="11"/>
  <c r="I18" i="11"/>
  <c r="I17" i="11"/>
  <c r="I16" i="11"/>
  <c r="I15" i="11"/>
  <c r="I14" i="11"/>
  <c r="I13" i="11"/>
  <c r="I12" i="11"/>
  <c r="I10" i="11"/>
  <c r="I7" i="11"/>
  <c r="E29" i="11"/>
  <c r="J83" i="5"/>
  <c r="K83" i="5"/>
  <c r="M83" i="5"/>
  <c r="N83" i="5"/>
  <c r="F83" i="5"/>
  <c r="G83" i="5"/>
  <c r="E89" i="5"/>
  <c r="J76" i="5"/>
  <c r="K76" i="5"/>
  <c r="M76" i="5"/>
  <c r="N76" i="5"/>
  <c r="F76" i="5"/>
  <c r="G76" i="5"/>
  <c r="H76" i="5"/>
  <c r="E80" i="5"/>
  <c r="H70" i="5"/>
  <c r="E70" i="5" s="1"/>
  <c r="E72" i="5"/>
  <c r="T29" i="11" l="1"/>
  <c r="U29" i="11"/>
  <c r="P72" i="5"/>
  <c r="O72" i="5"/>
  <c r="I6" i="11"/>
  <c r="P89" i="5"/>
  <c r="O89" i="5"/>
  <c r="U23" i="11"/>
  <c r="G6" i="9"/>
  <c r="E14" i="9"/>
  <c r="E15" i="9"/>
  <c r="E16" i="9"/>
  <c r="E17" i="9"/>
  <c r="E19" i="9"/>
  <c r="E13" i="9"/>
  <c r="E23" i="9"/>
  <c r="E24" i="9"/>
  <c r="E25" i="9"/>
  <c r="E26" i="9"/>
  <c r="E22" i="9"/>
  <c r="Q22" i="9" s="1"/>
  <c r="R19" i="9" l="1"/>
  <c r="Q19" i="9"/>
  <c r="R25" i="9"/>
  <c r="Q25" i="9"/>
  <c r="R22" i="9"/>
  <c r="Q26" i="9"/>
  <c r="R26" i="9"/>
  <c r="R24" i="9"/>
  <c r="Q24" i="9"/>
  <c r="Q23" i="9"/>
  <c r="R23" i="9"/>
  <c r="H20" i="9"/>
  <c r="J5" i="9"/>
  <c r="K5" i="9" s="1"/>
  <c r="N5" i="9" s="1"/>
  <c r="O5" i="9" s="1"/>
  <c r="R5" i="9" s="1"/>
  <c r="H8" i="9"/>
  <c r="H12" i="9"/>
  <c r="H9" i="9"/>
  <c r="H10" i="9"/>
  <c r="H11" i="9"/>
  <c r="I6" i="8"/>
  <c r="I8" i="8"/>
  <c r="E11" i="8"/>
  <c r="E12" i="8"/>
  <c r="E10" i="8"/>
  <c r="K48" i="4"/>
  <c r="H48" i="4"/>
  <c r="E48" i="4"/>
  <c r="T10" i="8" l="1"/>
  <c r="U10" i="8"/>
  <c r="U11" i="8"/>
  <c r="T11" i="8"/>
  <c r="H6" i="9"/>
  <c r="H37" i="9" s="1"/>
  <c r="I13" i="8"/>
  <c r="E43" i="3"/>
  <c r="E42" i="3"/>
  <c r="F41" i="3"/>
  <c r="G41" i="3"/>
  <c r="H41" i="3"/>
  <c r="I41" i="3"/>
  <c r="J41" i="3"/>
  <c r="K41" i="3"/>
  <c r="L41" i="3"/>
  <c r="M41" i="3"/>
  <c r="F38" i="3"/>
  <c r="G38" i="3"/>
  <c r="H38" i="3"/>
  <c r="I38" i="3"/>
  <c r="J38" i="3"/>
  <c r="K38" i="3"/>
  <c r="L38" i="3"/>
  <c r="M38" i="3"/>
  <c r="E40" i="3"/>
  <c r="E39" i="3"/>
  <c r="E38" i="3" s="1"/>
  <c r="O38" i="3" l="1"/>
  <c r="N42" i="3"/>
  <c r="O42" i="3"/>
  <c r="E41" i="3"/>
  <c r="O41" i="3" s="1"/>
  <c r="N43" i="3"/>
  <c r="O43" i="3"/>
  <c r="N39" i="3"/>
  <c r="O39" i="3"/>
  <c r="N38" i="3"/>
  <c r="N40" i="3"/>
  <c r="O40" i="3"/>
  <c r="G11" i="3"/>
  <c r="E26" i="3"/>
  <c r="E27" i="3"/>
  <c r="E28" i="3"/>
  <c r="E29" i="3"/>
  <c r="E30" i="3"/>
  <c r="E31" i="3"/>
  <c r="E32" i="3"/>
  <c r="E22" i="3"/>
  <c r="E23" i="3"/>
  <c r="E24" i="3"/>
  <c r="E9" i="3"/>
  <c r="N24" i="3" l="1"/>
  <c r="O24" i="3"/>
  <c r="O27" i="3"/>
  <c r="N27" i="3"/>
  <c r="O23" i="3"/>
  <c r="N23" i="3"/>
  <c r="O26" i="3"/>
  <c r="N26" i="3"/>
  <c r="N22" i="3"/>
  <c r="O22" i="3"/>
  <c r="N32" i="3"/>
  <c r="O32" i="3"/>
  <c r="N31" i="3"/>
  <c r="O31" i="3"/>
  <c r="N30" i="3"/>
  <c r="O30" i="3"/>
  <c r="O29" i="3"/>
  <c r="N29" i="3"/>
  <c r="N41" i="3"/>
  <c r="N28" i="3"/>
  <c r="O28" i="3"/>
  <c r="B8" i="15"/>
  <c r="M7" i="15"/>
  <c r="M10" i="5"/>
  <c r="N10" i="5"/>
  <c r="K7" i="15" l="1"/>
  <c r="K10" i="15" s="1"/>
  <c r="M10" i="15"/>
  <c r="L34" i="12"/>
  <c r="J34" i="12"/>
  <c r="B33" i="12"/>
  <c r="B25" i="16" l="1"/>
  <c r="J27" i="9" l="1"/>
  <c r="K27" i="9"/>
  <c r="N27" i="9"/>
  <c r="O27" i="9"/>
  <c r="F27" i="9"/>
  <c r="G27" i="9"/>
  <c r="E29" i="9"/>
  <c r="R29" i="9" s="1"/>
  <c r="E30" i="9"/>
  <c r="E31" i="9"/>
  <c r="E32" i="9"/>
  <c r="E33" i="9"/>
  <c r="E34" i="9"/>
  <c r="E35" i="9"/>
  <c r="E36" i="9"/>
  <c r="E28" i="9"/>
  <c r="E27" i="9" l="1"/>
  <c r="L12" i="17"/>
  <c r="J12" i="17"/>
  <c r="B9" i="17" l="1"/>
  <c r="B10" i="17"/>
  <c r="B7" i="17"/>
  <c r="B15" i="14" l="1"/>
  <c r="L17" i="14" l="1"/>
  <c r="J17" i="14"/>
  <c r="M16" i="14"/>
  <c r="B16" i="14"/>
  <c r="B14" i="14"/>
  <c r="B13" i="14"/>
  <c r="B10" i="14"/>
  <c r="B11" i="14"/>
  <c r="B8" i="14"/>
  <c r="B9" i="14"/>
  <c r="O25" i="11" l="1"/>
  <c r="J25" i="11"/>
  <c r="K61" i="4"/>
  <c r="M28" i="9" l="1"/>
  <c r="R28" i="9" s="1"/>
  <c r="M30" i="9"/>
  <c r="R30" i="9" s="1"/>
  <c r="M31" i="9"/>
  <c r="R31" i="9" s="1"/>
  <c r="M32" i="9"/>
  <c r="R32" i="9" s="1"/>
  <c r="M33" i="9"/>
  <c r="R33" i="9" s="1"/>
  <c r="M34" i="9"/>
  <c r="R34" i="9" s="1"/>
  <c r="M35" i="9"/>
  <c r="R35" i="9" s="1"/>
  <c r="M36" i="9"/>
  <c r="R36" i="9" s="1"/>
  <c r="I29" i="9"/>
  <c r="Q29" i="9" s="1"/>
  <c r="I30" i="9"/>
  <c r="Q30" i="9" s="1"/>
  <c r="I31" i="9"/>
  <c r="Q31" i="9" s="1"/>
  <c r="I32" i="9"/>
  <c r="Q32" i="9" s="1"/>
  <c r="I33" i="9"/>
  <c r="Q33" i="9" s="1"/>
  <c r="I34" i="9"/>
  <c r="Q34" i="9" s="1"/>
  <c r="I35" i="9"/>
  <c r="Q35" i="9" s="1"/>
  <c r="I36" i="9"/>
  <c r="Q36" i="9" s="1"/>
  <c r="I28" i="9"/>
  <c r="Q28" i="9" s="1"/>
  <c r="O20" i="9"/>
  <c r="N20" i="9"/>
  <c r="K20" i="9"/>
  <c r="J20" i="9"/>
  <c r="F20" i="9"/>
  <c r="I27" i="9" l="1"/>
  <c r="Q27" i="9" s="1"/>
  <c r="M27" i="9"/>
  <c r="R27" i="9" s="1"/>
  <c r="K13" i="3"/>
  <c r="M25" i="16" l="1"/>
  <c r="I21" i="9"/>
  <c r="Q21" i="9" s="1"/>
  <c r="M21" i="9"/>
  <c r="R21" i="9" s="1"/>
  <c r="G20" i="9" l="1"/>
  <c r="M20" i="9"/>
  <c r="I20" i="9"/>
  <c r="O10" i="11"/>
  <c r="O12" i="11"/>
  <c r="O13" i="11"/>
  <c r="O14" i="11"/>
  <c r="O15" i="11"/>
  <c r="O16" i="11"/>
  <c r="O17" i="11"/>
  <c r="O18" i="11"/>
  <c r="O19" i="11"/>
  <c r="O20" i="11"/>
  <c r="O21" i="11"/>
  <c r="O22" i="11"/>
  <c r="O8" i="11"/>
  <c r="O9" i="11"/>
  <c r="O11" i="11"/>
  <c r="J10" i="11"/>
  <c r="J12" i="11"/>
  <c r="J13" i="11"/>
  <c r="J14" i="11"/>
  <c r="J15" i="11"/>
  <c r="J16" i="11"/>
  <c r="J17" i="11"/>
  <c r="J18" i="11"/>
  <c r="J19" i="11"/>
  <c r="J20" i="11"/>
  <c r="J21" i="11"/>
  <c r="J22" i="11"/>
  <c r="J8" i="11"/>
  <c r="J9" i="11"/>
  <c r="U27" i="11" l="1"/>
  <c r="R24" i="11"/>
  <c r="R30" i="11" s="1"/>
  <c r="M24" i="11"/>
  <c r="M30" i="11" s="1"/>
  <c r="H24" i="11"/>
  <c r="E26" i="11"/>
  <c r="H27" i="11"/>
  <c r="E27" i="11" s="1"/>
  <c r="T27" i="11" s="1"/>
  <c r="N92" i="5"/>
  <c r="M92" i="5"/>
  <c r="K92" i="5"/>
  <c r="J92" i="5"/>
  <c r="G92" i="5"/>
  <c r="H92" i="5"/>
  <c r="E92" i="5" s="1"/>
  <c r="N73" i="5"/>
  <c r="K73" i="5"/>
  <c r="J90" i="5"/>
  <c r="N90" i="5"/>
  <c r="M90" i="5"/>
  <c r="K90" i="5"/>
  <c r="K32" i="5"/>
  <c r="T26" i="11" l="1"/>
  <c r="U26" i="11"/>
  <c r="H73" i="5"/>
  <c r="E73" i="5" s="1"/>
  <c r="G10" i="5"/>
  <c r="H88" i="5"/>
  <c r="E88" i="5" s="1"/>
  <c r="H87" i="5"/>
  <c r="H85" i="5"/>
  <c r="L75" i="5"/>
  <c r="I75" i="5"/>
  <c r="E75" i="5"/>
  <c r="I94" i="5"/>
  <c r="E94" i="5"/>
  <c r="P94" i="5" s="1"/>
  <c r="L88" i="5"/>
  <c r="P88" i="5" s="1"/>
  <c r="I88" i="5"/>
  <c r="P75" i="5" l="1"/>
  <c r="O75" i="5"/>
  <c r="O88" i="5"/>
  <c r="H83" i="5"/>
  <c r="O94" i="5"/>
  <c r="M18" i="9"/>
  <c r="I18" i="9"/>
  <c r="Q18" i="9" l="1"/>
  <c r="R18" i="9"/>
  <c r="R7" i="8"/>
  <c r="K46" i="4"/>
  <c r="H46" i="4"/>
  <c r="E46" i="4"/>
  <c r="K45" i="4"/>
  <c r="H45" i="4"/>
  <c r="E45" i="4"/>
  <c r="O45" i="4" l="1"/>
  <c r="M9" i="14"/>
  <c r="N45" i="4"/>
  <c r="O46" i="4"/>
  <c r="M10" i="14"/>
  <c r="N46" i="4"/>
  <c r="K63" i="4"/>
  <c r="K64" i="4"/>
  <c r="K65" i="4"/>
  <c r="H63" i="4"/>
  <c r="H64" i="4"/>
  <c r="H65" i="4"/>
  <c r="E65" i="4"/>
  <c r="E64" i="4"/>
  <c r="K62" i="4" l="1"/>
  <c r="O64" i="4"/>
  <c r="N65" i="4"/>
  <c r="N64" i="4"/>
  <c r="H62" i="4"/>
  <c r="O65" i="4"/>
  <c r="M13" i="14"/>
  <c r="M14" i="14"/>
  <c r="M15" i="14"/>
  <c r="K24" i="4" l="1"/>
  <c r="L20" i="4"/>
  <c r="L73" i="4" s="1"/>
  <c r="M20" i="4"/>
  <c r="I20" i="4"/>
  <c r="J20" i="4"/>
  <c r="G20" i="4"/>
  <c r="K8" i="4"/>
  <c r="K9" i="4"/>
  <c r="K10" i="4"/>
  <c r="K11" i="4"/>
  <c r="K12" i="4"/>
  <c r="K13" i="4"/>
  <c r="K14" i="4"/>
  <c r="K15" i="4"/>
  <c r="K16" i="4"/>
  <c r="K17" i="4"/>
  <c r="K18" i="4"/>
  <c r="K19" i="4"/>
  <c r="K7" i="4"/>
  <c r="H8" i="4"/>
  <c r="H9" i="4"/>
  <c r="H10" i="4"/>
  <c r="H11" i="4"/>
  <c r="H12" i="4"/>
  <c r="H13" i="4"/>
  <c r="H14" i="4"/>
  <c r="H15" i="4"/>
  <c r="H16" i="4"/>
  <c r="H17" i="4"/>
  <c r="H18" i="4"/>
  <c r="H19" i="4"/>
  <c r="H7" i="4"/>
  <c r="K6" i="4" l="1"/>
  <c r="A31" i="13"/>
  <c r="B31" i="13"/>
  <c r="A23" i="13"/>
  <c r="B23" i="13"/>
  <c r="A24" i="13"/>
  <c r="B24" i="13"/>
  <c r="A25" i="13"/>
  <c r="B25" i="13"/>
  <c r="A26" i="13"/>
  <c r="B26" i="13"/>
  <c r="A27" i="13"/>
  <c r="B27" i="13"/>
  <c r="A28" i="13"/>
  <c r="B28" i="13"/>
  <c r="A29" i="13"/>
  <c r="B29" i="13"/>
  <c r="A30" i="13"/>
  <c r="B30" i="13"/>
  <c r="A36" i="13"/>
  <c r="B36" i="13"/>
  <c r="G33" i="3"/>
  <c r="J33" i="3"/>
  <c r="J44" i="3" s="1"/>
  <c r="M33" i="3"/>
  <c r="M44" i="3" s="1"/>
  <c r="G36" i="3"/>
  <c r="J36" i="3"/>
  <c r="M36" i="3"/>
  <c r="F6" i="3"/>
  <c r="G6" i="3"/>
  <c r="K25" i="3"/>
  <c r="H25" i="3"/>
  <c r="E25" i="3"/>
  <c r="H13" i="3"/>
  <c r="E35" i="3"/>
  <c r="H35" i="3"/>
  <c r="N35" i="3" s="1"/>
  <c r="K35" i="3"/>
  <c r="O35" i="3" s="1"/>
  <c r="G44" i="3" l="1"/>
  <c r="N25" i="3"/>
  <c r="K26" i="13"/>
  <c r="O25" i="3"/>
  <c r="O7" i="11"/>
  <c r="J7" i="11"/>
  <c r="J6" i="11" l="1"/>
  <c r="O6" i="11"/>
  <c r="O9" i="3"/>
  <c r="N9" i="3"/>
  <c r="G18" i="13" l="1"/>
  <c r="G19" i="13"/>
  <c r="G17" i="13"/>
  <c r="G15" i="13"/>
  <c r="G16" i="13"/>
  <c r="G14" i="13"/>
  <c r="G13" i="13"/>
  <c r="G9" i="13"/>
  <c r="G7" i="15" l="1"/>
  <c r="B7" i="15"/>
  <c r="G23" i="12"/>
  <c r="G14" i="12"/>
  <c r="B32" i="12"/>
  <c r="K59" i="4" l="1"/>
  <c r="H59" i="4"/>
  <c r="K50" i="4"/>
  <c r="H50" i="4"/>
  <c r="K47" i="4"/>
  <c r="H47" i="4"/>
  <c r="K44" i="4"/>
  <c r="H44" i="4"/>
  <c r="F27" i="11"/>
  <c r="F30" i="11" s="1"/>
  <c r="G27" i="11"/>
  <c r="E28" i="11"/>
  <c r="B27" i="12"/>
  <c r="B26" i="12"/>
  <c r="F6" i="5"/>
  <c r="G6" i="5"/>
  <c r="J6" i="5"/>
  <c r="K6" i="5"/>
  <c r="M6" i="5"/>
  <c r="N6" i="5"/>
  <c r="U28" i="11" l="1"/>
  <c r="T28" i="11"/>
  <c r="M8" i="14"/>
  <c r="M11" i="14"/>
  <c r="I85" i="5"/>
  <c r="L85" i="5"/>
  <c r="L87" i="5"/>
  <c r="I87" i="5"/>
  <c r="L86" i="5"/>
  <c r="I86" i="5"/>
  <c r="E87" i="5"/>
  <c r="E86" i="5"/>
  <c r="E79" i="5"/>
  <c r="L93" i="5"/>
  <c r="I93" i="5"/>
  <c r="I92" i="5" s="1"/>
  <c r="O92" i="5" s="1"/>
  <c r="F92" i="5"/>
  <c r="F95" i="5" s="1"/>
  <c r="E93" i="5"/>
  <c r="L91" i="5"/>
  <c r="I91" i="5"/>
  <c r="E91" i="5"/>
  <c r="H90" i="5"/>
  <c r="E90" i="5" s="1"/>
  <c r="A17" i="16"/>
  <c r="B17" i="16"/>
  <c r="G37" i="9"/>
  <c r="P93" i="5" l="1"/>
  <c r="L92" i="5"/>
  <c r="P92" i="5" s="1"/>
  <c r="O91" i="5"/>
  <c r="O86" i="5"/>
  <c r="P91" i="5"/>
  <c r="P86" i="5"/>
  <c r="O87" i="5"/>
  <c r="P87" i="5"/>
  <c r="K32" i="12"/>
  <c r="O93" i="5"/>
  <c r="L90" i="5"/>
  <c r="P90" i="5" s="1"/>
  <c r="K27" i="12"/>
  <c r="K26" i="12"/>
  <c r="I90" i="5"/>
  <c r="O90" i="5" s="1"/>
  <c r="K25" i="12"/>
  <c r="E47" i="4"/>
  <c r="N47" i="4" l="1"/>
  <c r="O47" i="4"/>
  <c r="F73" i="4"/>
  <c r="E72" i="4"/>
  <c r="E71" i="4" l="1"/>
  <c r="N72" i="4"/>
  <c r="O72" i="4"/>
  <c r="B37" i="13"/>
  <c r="A38" i="13"/>
  <c r="B38" i="13"/>
  <c r="A20" i="13"/>
  <c r="B20" i="13"/>
  <c r="A21" i="13"/>
  <c r="B21" i="13"/>
  <c r="A22" i="13"/>
  <c r="B22" i="13"/>
  <c r="L33" i="3"/>
  <c r="L44" i="3" s="1"/>
  <c r="K21" i="3"/>
  <c r="H21" i="3"/>
  <c r="H20" i="3"/>
  <c r="K19" i="3"/>
  <c r="H19" i="3"/>
  <c r="K16" i="3"/>
  <c r="K14" i="3"/>
  <c r="H14" i="3"/>
  <c r="N71" i="4" l="1"/>
  <c r="O71" i="4"/>
  <c r="H16" i="3"/>
  <c r="E20" i="3"/>
  <c r="O20" i="3" s="1"/>
  <c r="K21" i="13"/>
  <c r="E21" i="3"/>
  <c r="N21" i="3" s="1"/>
  <c r="K22" i="13"/>
  <c r="E19" i="3"/>
  <c r="N19" i="3" s="1"/>
  <c r="K20" i="13"/>
  <c r="K37" i="3"/>
  <c r="H37" i="3"/>
  <c r="E37" i="3"/>
  <c r="E36" i="3" s="1"/>
  <c r="O19" i="3" l="1"/>
  <c r="O37" i="3"/>
  <c r="N20" i="3"/>
  <c r="O21" i="3"/>
  <c r="N37" i="3"/>
  <c r="K36" i="3"/>
  <c r="O36" i="3" s="1"/>
  <c r="M38" i="13"/>
  <c r="K38" i="13" s="1"/>
  <c r="H36" i="3"/>
  <c r="N36" i="3" s="1"/>
  <c r="A1" i="12" l="1"/>
  <c r="A1" i="16"/>
  <c r="A1" i="17"/>
  <c r="J10" i="15" l="1"/>
  <c r="J45" i="13" l="1"/>
  <c r="A1" i="15" l="1"/>
  <c r="A8" i="12" l="1"/>
  <c r="B10" i="12"/>
  <c r="B8" i="12"/>
  <c r="B24" i="12"/>
  <c r="B25" i="12"/>
  <c r="B23" i="12"/>
  <c r="B20" i="12"/>
  <c r="B15" i="12"/>
  <c r="B13" i="12"/>
  <c r="B14" i="12"/>
  <c r="B12" i="12"/>
  <c r="B11" i="12"/>
  <c r="B9" i="12"/>
  <c r="B7" i="12"/>
  <c r="A9" i="12" l="1"/>
  <c r="A10" i="12" s="1"/>
  <c r="A11" i="12" s="1"/>
  <c r="A12" i="12" s="1"/>
  <c r="A13" i="12" s="1"/>
  <c r="A14" i="12" s="1"/>
  <c r="A15" i="12" s="1"/>
  <c r="A16" i="12" s="1"/>
  <c r="A17" i="12" s="1"/>
  <c r="J26" i="16"/>
  <c r="L26" i="16"/>
  <c r="A23" i="12" l="1"/>
  <c r="A26" i="12" s="1"/>
  <c r="A29" i="12" s="1"/>
  <c r="M19" i="16"/>
  <c r="K19" i="16" s="1"/>
  <c r="K25" i="16"/>
  <c r="B16" i="16"/>
  <c r="B19" i="16"/>
  <c r="B20" i="16"/>
  <c r="A16" i="16"/>
  <c r="A12" i="16"/>
  <c r="B12" i="16"/>
  <c r="A13" i="16"/>
  <c r="B13" i="16"/>
  <c r="A14" i="16"/>
  <c r="B14" i="16"/>
  <c r="A15" i="16"/>
  <c r="B15" i="16"/>
  <c r="A8" i="16"/>
  <c r="B8" i="16"/>
  <c r="A9" i="16"/>
  <c r="B9" i="16"/>
  <c r="A10" i="16"/>
  <c r="B10" i="16"/>
  <c r="A11" i="16"/>
  <c r="B11" i="16"/>
  <c r="A7" i="16"/>
  <c r="B8" i="17"/>
  <c r="C6" i="17"/>
  <c r="D6" i="17" s="1"/>
  <c r="E6" i="17" s="1"/>
  <c r="F6" i="17" s="1"/>
  <c r="G6" i="17" s="1"/>
  <c r="H6" i="17" s="1"/>
  <c r="I6" i="17" s="1"/>
  <c r="J6" i="17" s="1"/>
  <c r="K6" i="17" s="1"/>
  <c r="A2" i="17"/>
  <c r="C6" i="16"/>
  <c r="D6" i="16" s="1"/>
  <c r="E6" i="16" s="1"/>
  <c r="F6" i="16" s="1"/>
  <c r="G6" i="16" s="1"/>
  <c r="H6" i="16" s="1"/>
  <c r="I6" i="16" s="1"/>
  <c r="J6" i="16" s="1"/>
  <c r="K6" i="16" s="1"/>
  <c r="A2" i="16"/>
  <c r="C6" i="15"/>
  <c r="D6" i="15" s="1"/>
  <c r="H6" i="15" s="1"/>
  <c r="I6" i="15" s="1"/>
  <c r="J6" i="15" s="1"/>
  <c r="K6" i="15" s="1"/>
  <c r="A2" i="15"/>
  <c r="A1" i="14"/>
  <c r="C6" i="14"/>
  <c r="D6" i="14" s="1"/>
  <c r="E6" i="14" s="1"/>
  <c r="F6" i="14" s="1"/>
  <c r="G6" i="14" s="1"/>
  <c r="H6" i="14" s="1"/>
  <c r="I6" i="14" s="1"/>
  <c r="J6" i="14" s="1"/>
  <c r="K6" i="14" s="1"/>
  <c r="A2" i="14"/>
  <c r="A22" i="12" l="1"/>
  <c r="A25" i="12" s="1"/>
  <c r="A28" i="12" s="1"/>
  <c r="A24" i="12"/>
  <c r="A27" i="12" s="1"/>
  <c r="A8" i="13"/>
  <c r="B8" i="13"/>
  <c r="B9" i="13"/>
  <c r="B10" i="13"/>
  <c r="B11" i="13"/>
  <c r="B12" i="13"/>
  <c r="A13" i="13"/>
  <c r="B13" i="13"/>
  <c r="A14" i="13"/>
  <c r="B14" i="13"/>
  <c r="A15" i="13"/>
  <c r="B15" i="13"/>
  <c r="A16" i="13"/>
  <c r="B16" i="13"/>
  <c r="A17" i="13"/>
  <c r="B17" i="13"/>
  <c r="A18" i="13"/>
  <c r="B18" i="13"/>
  <c r="A19" i="13"/>
  <c r="B19" i="13"/>
  <c r="B34" i="13"/>
  <c r="A35" i="13"/>
  <c r="B35" i="13"/>
  <c r="B7" i="13"/>
  <c r="C6" i="13"/>
  <c r="D6" i="13" s="1"/>
  <c r="I6" i="13" s="1"/>
  <c r="J6" i="13" s="1"/>
  <c r="K6" i="13" s="1"/>
  <c r="A2" i="13"/>
  <c r="A1" i="13"/>
  <c r="A2" i="12"/>
  <c r="C6" i="12"/>
  <c r="D6" i="12" s="1"/>
  <c r="H6" i="12" s="1"/>
  <c r="I6" i="12" s="1"/>
  <c r="J6" i="12" s="1"/>
  <c r="K6" i="12" s="1"/>
  <c r="H54" i="4"/>
  <c r="K54" i="4"/>
  <c r="M31" i="5" l="1"/>
  <c r="J31" i="5"/>
  <c r="G31" i="5"/>
  <c r="M12" i="5"/>
  <c r="M95" i="5" s="1"/>
  <c r="J12" i="5"/>
  <c r="J95" i="5" s="1"/>
  <c r="G12" i="5"/>
  <c r="G95" i="5" s="1"/>
  <c r="H27" i="5"/>
  <c r="M9" i="9"/>
  <c r="R9" i="9" s="1"/>
  <c r="E20" i="9"/>
  <c r="R20" i="9" l="1"/>
  <c r="Q20" i="9"/>
  <c r="K24" i="11"/>
  <c r="K30" i="11" s="1"/>
  <c r="L24" i="11"/>
  <c r="L30" i="11" s="1"/>
  <c r="P24" i="11"/>
  <c r="P30" i="11" s="1"/>
  <c r="Q24" i="11"/>
  <c r="Q30" i="11" s="1"/>
  <c r="I24" i="11" l="1"/>
  <c r="I30" i="11" s="1"/>
  <c r="G17" i="18" s="1"/>
  <c r="O24" i="11"/>
  <c r="J24" i="11"/>
  <c r="J30" i="11" s="1"/>
  <c r="O30" i="11" l="1"/>
  <c r="E25" i="11"/>
  <c r="E7" i="11"/>
  <c r="E10" i="11"/>
  <c r="E12" i="11"/>
  <c r="E13" i="11"/>
  <c r="E14" i="11"/>
  <c r="E15" i="11"/>
  <c r="E16" i="11"/>
  <c r="E17" i="11"/>
  <c r="E18" i="11"/>
  <c r="E19" i="11"/>
  <c r="E20" i="11"/>
  <c r="E21" i="11"/>
  <c r="E22" i="11"/>
  <c r="E8" i="11"/>
  <c r="E9" i="11"/>
  <c r="E11" i="11"/>
  <c r="U11" i="11" s="1"/>
  <c r="H30" i="11"/>
  <c r="G30" i="11"/>
  <c r="T10" i="11" l="1"/>
  <c r="U10" i="11"/>
  <c r="U19" i="11"/>
  <c r="T19" i="11"/>
  <c r="T25" i="11"/>
  <c r="U25" i="11"/>
  <c r="U18" i="11"/>
  <c r="T18" i="11"/>
  <c r="E6" i="11"/>
  <c r="T7" i="11"/>
  <c r="U7" i="11"/>
  <c r="U17" i="11"/>
  <c r="T17" i="11"/>
  <c r="T22" i="11"/>
  <c r="U22" i="11"/>
  <c r="U21" i="11"/>
  <c r="T21" i="11"/>
  <c r="T9" i="11"/>
  <c r="U9" i="11"/>
  <c r="T16" i="11"/>
  <c r="U16" i="11"/>
  <c r="U8" i="11"/>
  <c r="T8" i="11"/>
  <c r="U15" i="11"/>
  <c r="T15" i="11"/>
  <c r="T14" i="11"/>
  <c r="U14" i="11"/>
  <c r="T13" i="11"/>
  <c r="U13" i="11"/>
  <c r="U20" i="11"/>
  <c r="T20" i="11"/>
  <c r="U12" i="11"/>
  <c r="T12" i="11"/>
  <c r="E24" i="11"/>
  <c r="U24" i="11" l="1"/>
  <c r="T24" i="11"/>
  <c r="U6" i="11"/>
  <c r="T6" i="11"/>
  <c r="E30" i="11"/>
  <c r="T30" i="11" s="1"/>
  <c r="U30" i="11" l="1"/>
  <c r="L53" i="5"/>
  <c r="L54" i="5"/>
  <c r="L55" i="5"/>
  <c r="L56" i="5"/>
  <c r="L57" i="5"/>
  <c r="P57" i="5" s="1"/>
  <c r="L58" i="5"/>
  <c r="L59" i="5"/>
  <c r="L60" i="5"/>
  <c r="L61" i="5"/>
  <c r="L62" i="5"/>
  <c r="L63" i="5"/>
  <c r="L64" i="5"/>
  <c r="P64" i="5" s="1"/>
  <c r="L65" i="5"/>
  <c r="P65" i="5" s="1"/>
  <c r="L66" i="5"/>
  <c r="L67" i="5"/>
  <c r="L68" i="5"/>
  <c r="L69" i="5"/>
  <c r="I53" i="5"/>
  <c r="I54" i="5"/>
  <c r="I55" i="5"/>
  <c r="I56" i="5"/>
  <c r="O56" i="5" s="1"/>
  <c r="I57" i="5"/>
  <c r="I58" i="5"/>
  <c r="I59" i="5"/>
  <c r="I60" i="5"/>
  <c r="I61" i="5"/>
  <c r="I62" i="5"/>
  <c r="I63" i="5"/>
  <c r="I64" i="5"/>
  <c r="O64" i="5" s="1"/>
  <c r="I65" i="5"/>
  <c r="I66" i="5"/>
  <c r="I67" i="5"/>
  <c r="I68" i="5"/>
  <c r="I69" i="5"/>
  <c r="N52" i="5"/>
  <c r="K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H52" i="5"/>
  <c r="E52" i="5" s="1"/>
  <c r="O62" i="5" l="1"/>
  <c r="P55" i="5"/>
  <c r="P62" i="5"/>
  <c r="P54" i="5"/>
  <c r="O63" i="5"/>
  <c r="O54" i="5"/>
  <c r="O55" i="5"/>
  <c r="P63" i="5"/>
  <c r="O65" i="5"/>
  <c r="O57" i="5"/>
  <c r="P66" i="5"/>
  <c r="P58" i="5"/>
  <c r="P56" i="5"/>
  <c r="O69" i="5"/>
  <c r="O60" i="5"/>
  <c r="P53" i="5"/>
  <c r="O67" i="5"/>
  <c r="O59" i="5"/>
  <c r="P68" i="5"/>
  <c r="P60" i="5"/>
  <c r="O61" i="5"/>
  <c r="O53" i="5"/>
  <c r="O68" i="5"/>
  <c r="P69" i="5"/>
  <c r="P61" i="5"/>
  <c r="O66" i="5"/>
  <c r="O58" i="5"/>
  <c r="P67" i="5"/>
  <c r="P59" i="5"/>
  <c r="E11" i="5"/>
  <c r="I10" i="5"/>
  <c r="E10" i="5"/>
  <c r="E74" i="5"/>
  <c r="I74" i="5"/>
  <c r="O74" i="5" s="1"/>
  <c r="L74" i="5"/>
  <c r="P74" i="5" s="1"/>
  <c r="L77" i="5"/>
  <c r="L78" i="5"/>
  <c r="P78" i="5" s="1"/>
  <c r="I77" i="5"/>
  <c r="I78" i="5"/>
  <c r="O78" i="5" s="1"/>
  <c r="E77" i="5"/>
  <c r="E78" i="5"/>
  <c r="L82" i="5"/>
  <c r="I82" i="5"/>
  <c r="E82" i="5"/>
  <c r="N81" i="5"/>
  <c r="K81" i="5"/>
  <c r="H81" i="5"/>
  <c r="I71" i="5"/>
  <c r="L71" i="5"/>
  <c r="E71" i="5"/>
  <c r="I15" i="12" s="1"/>
  <c r="L33" i="5"/>
  <c r="L34" i="5"/>
  <c r="L35" i="5"/>
  <c r="L36" i="5"/>
  <c r="L37" i="5"/>
  <c r="P37" i="5" s="1"/>
  <c r="L38" i="5"/>
  <c r="P38" i="5" s="1"/>
  <c r="L39" i="5"/>
  <c r="L40" i="5"/>
  <c r="L41" i="5"/>
  <c r="L42" i="5"/>
  <c r="L43" i="5"/>
  <c r="L44" i="5"/>
  <c r="L45" i="5"/>
  <c r="P45" i="5" s="1"/>
  <c r="L46" i="5"/>
  <c r="P46" i="5" s="1"/>
  <c r="L47" i="5"/>
  <c r="L48" i="5"/>
  <c r="L49" i="5"/>
  <c r="L50" i="5"/>
  <c r="L51" i="5"/>
  <c r="I33" i="5"/>
  <c r="I35" i="5"/>
  <c r="O35" i="5" s="1"/>
  <c r="I36" i="5"/>
  <c r="O36" i="5" s="1"/>
  <c r="I37" i="5"/>
  <c r="I38" i="5"/>
  <c r="I39" i="5"/>
  <c r="I40" i="5"/>
  <c r="I41" i="5"/>
  <c r="I42" i="5"/>
  <c r="I43" i="5"/>
  <c r="O43" i="5" s="1"/>
  <c r="I44" i="5"/>
  <c r="O44" i="5" s="1"/>
  <c r="I45" i="5"/>
  <c r="I46" i="5"/>
  <c r="I47" i="5"/>
  <c r="I48" i="5"/>
  <c r="I49" i="5"/>
  <c r="I50" i="5"/>
  <c r="I51" i="5"/>
  <c r="O51" i="5" s="1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N32" i="5"/>
  <c r="H32" i="5"/>
  <c r="L28" i="5"/>
  <c r="L29" i="5"/>
  <c r="L30" i="5"/>
  <c r="I28" i="5"/>
  <c r="I29" i="5"/>
  <c r="I30" i="5"/>
  <c r="N27" i="5"/>
  <c r="K27" i="5"/>
  <c r="E28" i="5"/>
  <c r="E29" i="5"/>
  <c r="E30" i="5"/>
  <c r="L84" i="5"/>
  <c r="I84" i="5"/>
  <c r="E84" i="5"/>
  <c r="E85" i="5"/>
  <c r="L16" i="5"/>
  <c r="L17" i="5"/>
  <c r="L18" i="5"/>
  <c r="L19" i="5"/>
  <c r="L20" i="5"/>
  <c r="P20" i="5" s="1"/>
  <c r="L21" i="5"/>
  <c r="L22" i="5"/>
  <c r="L23" i="5"/>
  <c r="L24" i="5"/>
  <c r="L25" i="5"/>
  <c r="L26" i="5"/>
  <c r="I16" i="5"/>
  <c r="I17" i="5"/>
  <c r="O17" i="5" s="1"/>
  <c r="I18" i="5"/>
  <c r="I19" i="5"/>
  <c r="I20" i="5"/>
  <c r="I21" i="5"/>
  <c r="I22" i="5"/>
  <c r="I23" i="5"/>
  <c r="I24" i="5"/>
  <c r="O24" i="5" s="1"/>
  <c r="I25" i="5"/>
  <c r="O25" i="5" s="1"/>
  <c r="I26" i="5"/>
  <c r="E16" i="5"/>
  <c r="E17" i="5"/>
  <c r="E18" i="5"/>
  <c r="E19" i="5"/>
  <c r="E20" i="5"/>
  <c r="E21" i="5"/>
  <c r="E22" i="5"/>
  <c r="E23" i="5"/>
  <c r="E24" i="5"/>
  <c r="E25" i="5"/>
  <c r="E26" i="5"/>
  <c r="H15" i="5"/>
  <c r="E14" i="5"/>
  <c r="P19" i="5" l="1"/>
  <c r="P30" i="5"/>
  <c r="O10" i="5"/>
  <c r="P26" i="5"/>
  <c r="P18" i="5"/>
  <c r="O77" i="5"/>
  <c r="P77" i="5"/>
  <c r="O19" i="5"/>
  <c r="O46" i="5"/>
  <c r="O38" i="5"/>
  <c r="P48" i="5"/>
  <c r="P40" i="5"/>
  <c r="O26" i="5"/>
  <c r="O18" i="5"/>
  <c r="O45" i="5"/>
  <c r="O37" i="5"/>
  <c r="P47" i="5"/>
  <c r="P39" i="5"/>
  <c r="P71" i="5"/>
  <c r="O20" i="5"/>
  <c r="P23" i="5"/>
  <c r="P85" i="5"/>
  <c r="O85" i="5"/>
  <c r="O47" i="5"/>
  <c r="O39" i="5"/>
  <c r="P50" i="5"/>
  <c r="P42" i="5"/>
  <c r="P34" i="5"/>
  <c r="O82" i="5"/>
  <c r="I15" i="5"/>
  <c r="O16" i="5"/>
  <c r="O50" i="5"/>
  <c r="P22" i="5"/>
  <c r="P49" i="5"/>
  <c r="P41" i="5"/>
  <c r="P33" i="5"/>
  <c r="L10" i="5"/>
  <c r="P10" i="5" s="1"/>
  <c r="O42" i="5"/>
  <c r="O34" i="5"/>
  <c r="O22" i="5"/>
  <c r="P25" i="5"/>
  <c r="P17" i="5"/>
  <c r="P28" i="5"/>
  <c r="O49" i="5"/>
  <c r="O41" i="5"/>
  <c r="O33" i="5"/>
  <c r="P44" i="5"/>
  <c r="P36" i="5"/>
  <c r="O71" i="5"/>
  <c r="P82" i="5"/>
  <c r="O23" i="5"/>
  <c r="P24" i="5"/>
  <c r="P16" i="5"/>
  <c r="O48" i="5"/>
  <c r="O40" i="5"/>
  <c r="P51" i="5"/>
  <c r="P43" i="5"/>
  <c r="P35" i="5"/>
  <c r="K20" i="12"/>
  <c r="K14" i="12"/>
  <c r="O30" i="5"/>
  <c r="O28" i="5"/>
  <c r="L83" i="5"/>
  <c r="P84" i="5"/>
  <c r="I83" i="5"/>
  <c r="O84" i="5"/>
  <c r="L15" i="5"/>
  <c r="E83" i="5"/>
  <c r="L76" i="5"/>
  <c r="E76" i="5"/>
  <c r="I76" i="5"/>
  <c r="K8" i="12"/>
  <c r="H31" i="5"/>
  <c r="E31" i="5" s="1"/>
  <c r="K19" i="12"/>
  <c r="K23" i="12"/>
  <c r="K15" i="12"/>
  <c r="K24" i="12"/>
  <c r="E8" i="5"/>
  <c r="H6" i="5"/>
  <c r="I32" i="5"/>
  <c r="K31" i="5"/>
  <c r="I31" i="5" s="1"/>
  <c r="O31" i="5" s="1"/>
  <c r="N31" i="5"/>
  <c r="L31" i="5" s="1"/>
  <c r="N13" i="5"/>
  <c r="N12" i="5" s="1"/>
  <c r="K13" i="5"/>
  <c r="K12" i="5" s="1"/>
  <c r="H13" i="5"/>
  <c r="L81" i="5"/>
  <c r="I81" i="5"/>
  <c r="E81" i="5"/>
  <c r="L73" i="5"/>
  <c r="P73" i="5" s="1"/>
  <c r="I73" i="5"/>
  <c r="O73" i="5" s="1"/>
  <c r="L70" i="5"/>
  <c r="P70" i="5" s="1"/>
  <c r="I70" i="5"/>
  <c r="O70" i="5" s="1"/>
  <c r="L52" i="5"/>
  <c r="P52" i="5" s="1"/>
  <c r="I52" i="5"/>
  <c r="O52" i="5" s="1"/>
  <c r="L32" i="5"/>
  <c r="E32" i="5"/>
  <c r="L27" i="5"/>
  <c r="I27" i="5"/>
  <c r="O27" i="5" s="1"/>
  <c r="E27" i="5"/>
  <c r="O83" i="5" l="1"/>
  <c r="O81" i="5"/>
  <c r="P27" i="5"/>
  <c r="P32" i="5"/>
  <c r="P81" i="5"/>
  <c r="P8" i="5"/>
  <c r="O8" i="5"/>
  <c r="O76" i="5"/>
  <c r="P83" i="5"/>
  <c r="N95" i="5"/>
  <c r="K10" i="12"/>
  <c r="O32" i="5"/>
  <c r="P76" i="5"/>
  <c r="P31" i="5"/>
  <c r="K95" i="5"/>
  <c r="L12" i="5"/>
  <c r="I12" i="5"/>
  <c r="H12" i="5"/>
  <c r="E12" i="5" s="1"/>
  <c r="P14" i="5"/>
  <c r="I14" i="5"/>
  <c r="O14" i="5" s="1"/>
  <c r="L9" i="5"/>
  <c r="I9" i="5"/>
  <c r="E9" i="5"/>
  <c r="L7" i="5"/>
  <c r="I7" i="5"/>
  <c r="O9" i="5" l="1"/>
  <c r="P9" i="5"/>
  <c r="O12" i="5"/>
  <c r="P12" i="5"/>
  <c r="H95" i="5"/>
  <c r="L6" i="5"/>
  <c r="M7" i="12"/>
  <c r="M34" i="12" s="1"/>
  <c r="I6" i="5"/>
  <c r="E7" i="5"/>
  <c r="E6" i="5" s="1"/>
  <c r="E95" i="5" s="1"/>
  <c r="M8" i="9"/>
  <c r="M10" i="9"/>
  <c r="M12" i="9"/>
  <c r="R13" i="9"/>
  <c r="R14" i="9"/>
  <c r="R15" i="9"/>
  <c r="R16" i="9"/>
  <c r="R17" i="9"/>
  <c r="I8" i="9"/>
  <c r="I9" i="9"/>
  <c r="Q9" i="9" s="1"/>
  <c r="I10" i="9"/>
  <c r="I12" i="9"/>
  <c r="E8" i="9"/>
  <c r="E10" i="9"/>
  <c r="E11" i="9"/>
  <c r="E12" i="9"/>
  <c r="M7" i="9"/>
  <c r="I6" i="9" l="1"/>
  <c r="R12" i="9"/>
  <c r="Q12" i="9"/>
  <c r="R8" i="9"/>
  <c r="Q8" i="9"/>
  <c r="M9" i="16"/>
  <c r="K9" i="16" s="1"/>
  <c r="Q10" i="9"/>
  <c r="E6" i="9"/>
  <c r="R10" i="9"/>
  <c r="P7" i="5"/>
  <c r="M15" i="16"/>
  <c r="K15" i="16" s="1"/>
  <c r="Q16" i="9"/>
  <c r="O6" i="5"/>
  <c r="M13" i="16"/>
  <c r="Q14" i="9"/>
  <c r="M16" i="16"/>
  <c r="K16" i="16" s="1"/>
  <c r="Q17" i="9"/>
  <c r="M14" i="16"/>
  <c r="K14" i="16" s="1"/>
  <c r="Q15" i="9"/>
  <c r="R7" i="9"/>
  <c r="M6" i="9"/>
  <c r="M12" i="16"/>
  <c r="K12" i="16" s="1"/>
  <c r="Q13" i="9"/>
  <c r="P6" i="5"/>
  <c r="O7" i="5"/>
  <c r="L95" i="5"/>
  <c r="P95" i="5" s="1"/>
  <c r="I95" i="5"/>
  <c r="O95" i="5" s="1"/>
  <c r="M8" i="16"/>
  <c r="K8" i="16" s="1"/>
  <c r="M7" i="16"/>
  <c r="K7" i="16" s="1"/>
  <c r="K7" i="12"/>
  <c r="K34" i="12" s="1"/>
  <c r="M11" i="16"/>
  <c r="K11" i="16" s="1"/>
  <c r="Q6" i="9" l="1"/>
  <c r="R6" i="9"/>
  <c r="E37" i="9"/>
  <c r="M26" i="16"/>
  <c r="K26" i="16"/>
  <c r="K40" i="4" l="1"/>
  <c r="K39" i="4"/>
  <c r="K38" i="4"/>
  <c r="K37" i="4"/>
  <c r="K34" i="4"/>
  <c r="K33" i="4"/>
  <c r="K32" i="4"/>
  <c r="K31" i="4"/>
  <c r="K30" i="4"/>
  <c r="K29" i="4"/>
  <c r="K28" i="4"/>
  <c r="K26" i="4"/>
  <c r="K25" i="4"/>
  <c r="I6" i="4"/>
  <c r="J6" i="4"/>
  <c r="M6" i="4"/>
  <c r="E63" i="4"/>
  <c r="K13" i="14"/>
  <c r="E44" i="4"/>
  <c r="E43" i="4"/>
  <c r="K43" i="4"/>
  <c r="K42" i="4" s="1"/>
  <c r="H43" i="4"/>
  <c r="K68" i="4"/>
  <c r="K67" i="4"/>
  <c r="K70" i="4"/>
  <c r="K69" i="4"/>
  <c r="H70" i="4"/>
  <c r="H69" i="4"/>
  <c r="H68" i="4"/>
  <c r="N68" i="4" s="1"/>
  <c r="H67" i="4"/>
  <c r="E68" i="4"/>
  <c r="E69" i="4"/>
  <c r="E70" i="4"/>
  <c r="E67" i="4"/>
  <c r="M49" i="4"/>
  <c r="K51" i="4"/>
  <c r="K52" i="4"/>
  <c r="K53" i="4"/>
  <c r="K55" i="4"/>
  <c r="K56" i="4"/>
  <c r="K57" i="4"/>
  <c r="K58" i="4"/>
  <c r="K60" i="4"/>
  <c r="N43" i="4" l="1"/>
  <c r="H42" i="4"/>
  <c r="K49" i="4"/>
  <c r="K41" i="4" s="1"/>
  <c r="M41" i="4"/>
  <c r="M73" i="4" s="1"/>
  <c r="N69" i="4"/>
  <c r="E66" i="4"/>
  <c r="N70" i="4"/>
  <c r="E42" i="4"/>
  <c r="K66" i="4"/>
  <c r="O44" i="4"/>
  <c r="N44" i="4"/>
  <c r="E62" i="4"/>
  <c r="O63" i="4"/>
  <c r="N63" i="4"/>
  <c r="N67" i="4"/>
  <c r="H66" i="4"/>
  <c r="N66" i="4" s="1"/>
  <c r="O43" i="4"/>
  <c r="O69" i="4"/>
  <c r="O68" i="4"/>
  <c r="O70" i="4"/>
  <c r="O67" i="4"/>
  <c r="K8" i="14"/>
  <c r="O66" i="4" l="1"/>
  <c r="N42" i="4"/>
  <c r="O62" i="4"/>
  <c r="N62" i="4"/>
  <c r="O42" i="4"/>
  <c r="K17" i="14"/>
  <c r="J49" i="4"/>
  <c r="J41" i="4" s="1"/>
  <c r="H51" i="4"/>
  <c r="H52" i="4"/>
  <c r="H53" i="4"/>
  <c r="H55" i="4"/>
  <c r="H56" i="4"/>
  <c r="H57" i="4"/>
  <c r="H58" i="4"/>
  <c r="H60" i="4"/>
  <c r="H61" i="4"/>
  <c r="E51" i="4"/>
  <c r="O51" i="4" s="1"/>
  <c r="E52" i="4"/>
  <c r="O52" i="4" s="1"/>
  <c r="E53" i="4"/>
  <c r="O53" i="4" s="1"/>
  <c r="E54" i="4"/>
  <c r="E55" i="4"/>
  <c r="O55" i="4" s="1"/>
  <c r="E56" i="4"/>
  <c r="O56" i="4" s="1"/>
  <c r="E57" i="4"/>
  <c r="O57" i="4" s="1"/>
  <c r="E58" i="4"/>
  <c r="O58" i="4" s="1"/>
  <c r="E59" i="4"/>
  <c r="E60" i="4"/>
  <c r="O60" i="4" s="1"/>
  <c r="E61" i="4"/>
  <c r="O61" i="4" s="1"/>
  <c r="E50" i="4"/>
  <c r="G49" i="4"/>
  <c r="G41" i="4" s="1"/>
  <c r="I24" i="4"/>
  <c r="I73" i="4" s="1"/>
  <c r="J24" i="4"/>
  <c r="K23" i="4"/>
  <c r="N58" i="4" l="1"/>
  <c r="N57" i="4"/>
  <c r="N56" i="4"/>
  <c r="N55" i="4"/>
  <c r="N50" i="4"/>
  <c r="O50" i="4"/>
  <c r="O54" i="4"/>
  <c r="N54" i="4"/>
  <c r="N53" i="4"/>
  <c r="N61" i="4"/>
  <c r="N51" i="4"/>
  <c r="O59" i="4"/>
  <c r="N59" i="4"/>
  <c r="N52" i="4"/>
  <c r="N60" i="4"/>
  <c r="E49" i="4"/>
  <c r="H49" i="4"/>
  <c r="J73" i="4"/>
  <c r="H26" i="4"/>
  <c r="N49" i="4" l="1"/>
  <c r="H41" i="4"/>
  <c r="O49" i="4"/>
  <c r="E41" i="4"/>
  <c r="H28" i="4"/>
  <c r="H29" i="4"/>
  <c r="H30" i="4"/>
  <c r="N30" i="4" s="1"/>
  <c r="H31" i="4"/>
  <c r="H32" i="4"/>
  <c r="H33" i="4"/>
  <c r="H34" i="4"/>
  <c r="H37" i="4"/>
  <c r="H38" i="4"/>
  <c r="H39" i="4"/>
  <c r="N39" i="4" s="1"/>
  <c r="H40" i="4"/>
  <c r="H25" i="4"/>
  <c r="N25" i="4" s="1"/>
  <c r="E26" i="4"/>
  <c r="O26" i="4" s="1"/>
  <c r="E28" i="4"/>
  <c r="O28" i="4" s="1"/>
  <c r="E29" i="4"/>
  <c r="O29" i="4" s="1"/>
  <c r="E30" i="4"/>
  <c r="O30" i="4" s="1"/>
  <c r="E31" i="4"/>
  <c r="O31" i="4" s="1"/>
  <c r="E33" i="4"/>
  <c r="O33" i="4" s="1"/>
  <c r="E34" i="4"/>
  <c r="O34" i="4" s="1"/>
  <c r="E37" i="4"/>
  <c r="O37" i="4" s="1"/>
  <c r="E38" i="4"/>
  <c r="O38" i="4" s="1"/>
  <c r="E39" i="4"/>
  <c r="O39" i="4" s="1"/>
  <c r="E40" i="4"/>
  <c r="E25" i="4"/>
  <c r="O25" i="4" s="1"/>
  <c r="G32" i="4"/>
  <c r="G24" i="4" s="1"/>
  <c r="E24" i="4" s="1"/>
  <c r="O24" i="4" s="1"/>
  <c r="O41" i="4" l="1"/>
  <c r="N41" i="4"/>
  <c r="N38" i="4"/>
  <c r="N29" i="4"/>
  <c r="N37" i="4"/>
  <c r="N28" i="4"/>
  <c r="N32" i="4"/>
  <c r="N34" i="4"/>
  <c r="N33" i="4"/>
  <c r="N26" i="4"/>
  <c r="N31" i="4"/>
  <c r="E32" i="4"/>
  <c r="O32" i="4" s="1"/>
  <c r="H24" i="4"/>
  <c r="N24" i="4" s="1"/>
  <c r="G6" i="4"/>
  <c r="G73" i="4" s="1"/>
  <c r="E19" i="4"/>
  <c r="E8" i="4"/>
  <c r="E9" i="4"/>
  <c r="E10" i="4"/>
  <c r="E11" i="4"/>
  <c r="E12" i="4"/>
  <c r="E13" i="4"/>
  <c r="E14" i="4"/>
  <c r="E15" i="4"/>
  <c r="E16" i="4"/>
  <c r="E17" i="4"/>
  <c r="E18" i="4"/>
  <c r="H23" i="4"/>
  <c r="E23" i="4"/>
  <c r="O23" i="4" s="1"/>
  <c r="K22" i="4"/>
  <c r="H22" i="4"/>
  <c r="E22" i="4"/>
  <c r="K21" i="4"/>
  <c r="H21" i="4"/>
  <c r="E21" i="4"/>
  <c r="E7" i="4"/>
  <c r="N19" i="4" l="1"/>
  <c r="O19" i="4"/>
  <c r="O7" i="4"/>
  <c r="N7" i="4"/>
  <c r="O15" i="4"/>
  <c r="N15" i="4"/>
  <c r="N22" i="4"/>
  <c r="O22" i="4"/>
  <c r="O13" i="4"/>
  <c r="N13" i="4"/>
  <c r="N12" i="4"/>
  <c r="O12" i="4"/>
  <c r="N23" i="4"/>
  <c r="N11" i="4"/>
  <c r="O11" i="4"/>
  <c r="N14" i="4"/>
  <c r="O14" i="4"/>
  <c r="O18" i="4"/>
  <c r="N18" i="4"/>
  <c r="N10" i="4"/>
  <c r="O10" i="4"/>
  <c r="N21" i="4"/>
  <c r="O17" i="4"/>
  <c r="N17" i="4"/>
  <c r="O9" i="4"/>
  <c r="N9" i="4"/>
  <c r="O21" i="4"/>
  <c r="O16" i="4"/>
  <c r="N16" i="4"/>
  <c r="O8" i="4"/>
  <c r="N8" i="4"/>
  <c r="K20" i="4"/>
  <c r="K73" i="4" s="1"/>
  <c r="H20" i="4"/>
  <c r="H6" i="4"/>
  <c r="H73" i="4" s="1"/>
  <c r="E6" i="4"/>
  <c r="E20" i="4"/>
  <c r="O6" i="4" l="1"/>
  <c r="E73" i="4"/>
  <c r="N73" i="4" s="1"/>
  <c r="N20" i="4"/>
  <c r="N6" i="4"/>
  <c r="O20" i="4"/>
  <c r="O9" i="8"/>
  <c r="M8" i="17" s="1"/>
  <c r="K8" i="17" s="1"/>
  <c r="J9" i="8"/>
  <c r="E9" i="8"/>
  <c r="E8" i="8" s="1"/>
  <c r="O7" i="8"/>
  <c r="M7" i="17" s="1"/>
  <c r="K7" i="17" s="1"/>
  <c r="J7" i="8"/>
  <c r="E7" i="8"/>
  <c r="U9" i="8" l="1"/>
  <c r="T9" i="8"/>
  <c r="J8" i="8"/>
  <c r="U7" i="8"/>
  <c r="M12" i="17"/>
  <c r="T7" i="8"/>
  <c r="O73" i="4"/>
  <c r="K9" i="17"/>
  <c r="K12" i="17" s="1"/>
  <c r="T8" i="8" l="1"/>
  <c r="G6" i="8"/>
  <c r="G13" i="8" s="1"/>
  <c r="J6" i="8"/>
  <c r="J13" i="8" s="1"/>
  <c r="T13" i="8" s="1"/>
  <c r="O6" i="8"/>
  <c r="E6" i="8"/>
  <c r="E13" i="8" s="1"/>
  <c r="R6" i="8"/>
  <c r="M6" i="8"/>
  <c r="M13" i="8" s="1"/>
  <c r="H6" i="8"/>
  <c r="H13" i="8" s="1"/>
  <c r="F17" i="18" s="1"/>
  <c r="T6" i="8" l="1"/>
  <c r="U6" i="8"/>
  <c r="K34" i="3"/>
  <c r="H34" i="3"/>
  <c r="E34" i="3"/>
  <c r="E33" i="3" s="1"/>
  <c r="E18" i="3"/>
  <c r="E17" i="3"/>
  <c r="K17" i="13"/>
  <c r="E16" i="3"/>
  <c r="E15" i="3"/>
  <c r="K15" i="13"/>
  <c r="E14" i="3"/>
  <c r="K14" i="13"/>
  <c r="E13" i="3"/>
  <c r="E12" i="3"/>
  <c r="M10" i="13"/>
  <c r="K10" i="13" s="1"/>
  <c r="K8" i="3"/>
  <c r="H8" i="3"/>
  <c r="K7" i="3"/>
  <c r="K6" i="3" s="1"/>
  <c r="H7" i="3"/>
  <c r="E8" i="3"/>
  <c r="E10" i="3"/>
  <c r="E7" i="3"/>
  <c r="O10" i="3" l="1"/>
  <c r="N10" i="3"/>
  <c r="E11" i="3"/>
  <c r="H6" i="3"/>
  <c r="N7" i="3"/>
  <c r="O14" i="3"/>
  <c r="N14" i="3"/>
  <c r="O8" i="3"/>
  <c r="O16" i="3"/>
  <c r="N16" i="3"/>
  <c r="O13" i="3"/>
  <c r="N13" i="3"/>
  <c r="O6" i="3"/>
  <c r="H33" i="3"/>
  <c r="N33" i="3" s="1"/>
  <c r="N34" i="3"/>
  <c r="N8" i="3"/>
  <c r="O34" i="3"/>
  <c r="E6" i="3"/>
  <c r="E44" i="3" s="1"/>
  <c r="D17" i="18" s="1"/>
  <c r="I33" i="3"/>
  <c r="I44" i="3" s="1"/>
  <c r="K33" i="3"/>
  <c r="O33" i="3" s="1"/>
  <c r="M9" i="13"/>
  <c r="K9" i="13" s="1"/>
  <c r="F33" i="3"/>
  <c r="M11" i="13"/>
  <c r="K11" i="13" s="1"/>
  <c r="M8" i="13"/>
  <c r="M35" i="13"/>
  <c r="K35" i="13" s="1"/>
  <c r="O7" i="3"/>
  <c r="K8" i="13" l="1"/>
  <c r="N6" i="3"/>
  <c r="P6" i="8"/>
  <c r="P13" i="8" s="1"/>
  <c r="K6" i="8"/>
  <c r="K13" i="8" s="1"/>
  <c r="L6" i="8"/>
  <c r="L13" i="8" s="1"/>
  <c r="Q6" i="8"/>
  <c r="Q13" i="8" s="1"/>
  <c r="E13" i="5" l="1"/>
  <c r="E15" i="5"/>
  <c r="P15" i="5" l="1"/>
  <c r="O15" i="5"/>
  <c r="I13" i="5"/>
  <c r="O13" i="5" s="1"/>
  <c r="L13" i="5"/>
  <c r="P13" i="5" s="1"/>
  <c r="J37" i="9" l="1"/>
  <c r="M37" i="9"/>
  <c r="R37" i="9" s="1"/>
  <c r="N37" i="9"/>
  <c r="F37" i="9"/>
  <c r="O37" i="9"/>
  <c r="K37" i="9"/>
  <c r="I37" i="9"/>
  <c r="Q37" i="9" s="1"/>
  <c r="H12" i="3" l="1"/>
  <c r="H11" i="3" s="1"/>
  <c r="H44" i="3" s="1"/>
  <c r="D19" i="18" l="1"/>
  <c r="D22" i="18" s="1"/>
  <c r="N12" i="3"/>
  <c r="K12" i="3"/>
  <c r="M13" i="13" l="1"/>
  <c r="K11" i="3"/>
  <c r="K44" i="3" s="1"/>
  <c r="O44" i="3" s="1"/>
  <c r="K13" i="13"/>
  <c r="O12" i="3"/>
  <c r="K16" i="13"/>
  <c r="O15" i="3"/>
  <c r="N15" i="3"/>
  <c r="K19" i="13"/>
  <c r="K18" i="13"/>
  <c r="O18" i="3"/>
  <c r="N18" i="3"/>
  <c r="F11" i="3"/>
  <c r="F44" i="3" s="1"/>
  <c r="E17" i="18" s="1"/>
  <c r="O17" i="3"/>
  <c r="N17" i="3"/>
  <c r="N11" i="3"/>
  <c r="N44" i="3" l="1"/>
  <c r="O11" i="3"/>
  <c r="R8" i="8"/>
  <c r="R13" i="8" s="1"/>
  <c r="O8" i="8"/>
  <c r="O13" i="8" s="1"/>
  <c r="U13" i="8" s="1"/>
  <c r="U8" i="8" l="1"/>
</calcChain>
</file>

<file path=xl/sharedStrings.xml><?xml version="1.0" encoding="utf-8"?>
<sst xmlns="http://schemas.openxmlformats.org/spreadsheetml/2006/main" count="2005" uniqueCount="499">
  <si>
    <t>МО "Тельвисочный сельсовет"</t>
  </si>
  <si>
    <t>Всего</t>
  </si>
  <si>
    <t>ИТОГО по МП</t>
  </si>
  <si>
    <t>МКУ ЗР "Северное"</t>
  </si>
  <si>
    <t>МО "Пустозерский сельсовет"</t>
  </si>
  <si>
    <t>МО "Великовисочный сельсовет"</t>
  </si>
  <si>
    <t>Нераспределенный резерв</t>
  </si>
  <si>
    <t>ГРБС</t>
  </si>
  <si>
    <t>Кассовое исполнение</t>
  </si>
  <si>
    <t>Фактическое исполнение</t>
  </si>
  <si>
    <t>окружной бюджет</t>
  </si>
  <si>
    <t>местные бюджеты</t>
  </si>
  <si>
    <t>1.1</t>
  </si>
  <si>
    <t>1.2</t>
  </si>
  <si>
    <t>1.3</t>
  </si>
  <si>
    <t>1.4</t>
  </si>
  <si>
    <t>1.5</t>
  </si>
  <si>
    <t>1.7</t>
  </si>
  <si>
    <t>федеральный бюджет</t>
  </si>
  <si>
    <t>-</t>
  </si>
  <si>
    <t xml:space="preserve">Наименование мероприятия </t>
  </si>
  <si>
    <t xml:space="preserve">Исполнитель </t>
  </si>
  <si>
    <t>№ пп</t>
  </si>
  <si>
    <t>Отчет об использовании денежных средств в рамках исполнения мероприятий подпрограммы 1  "Строительство (приобретение) и проведение мероприятий по капитальному и текущему ремонту жилых помещений муниципального района "Заполярный район" муниципальной программы "Комплексное развитие поселений муниципального района "Заполярный район" на 2017-2019 годы"</t>
  </si>
  <si>
    <t>Раздел 1. Строительство (приобретение) жилья</t>
  </si>
  <si>
    <t>Завершение строительства объекта «4-квартирный жилой дом в д. Куя»</t>
  </si>
  <si>
    <t>Завершение строительства объекта «12-квартирный жилой дом в п. Харута НАО»</t>
  </si>
  <si>
    <t>Завершение строительства объекта «12-квартирный  жилой дом МО «Тельвисочный сельсовет» НАО»</t>
  </si>
  <si>
    <t>Завершение строительства объектов «4-х квартирный жилой дом № 1 в п. Индига» и «4-х квартирный жилой дом № 2 в п. Индига»</t>
  </si>
  <si>
    <t>Раздел 2. Капитальный и текущий ремонт жилых домов</t>
  </si>
  <si>
    <t>Капитальный ремонт жилого дома № 29 по ул. Морская в п. Индига МО "Тиманский сельсовет" НАО</t>
  </si>
  <si>
    <t>Капитальный ремонт жилого дома № 4 по ул. Северная в п. Красное МО "Приморско-Куйский сельсовет" НАО</t>
  </si>
  <si>
    <t>Капитальный ремонт жилого дома № 45 в п. Хонгурей МО "Пустозерский сельсовет" НАО</t>
  </si>
  <si>
    <t>Капитальный ремонт жилого дома № 63 в д. Каменка МО "Пустозерский сельсовет" НАО</t>
  </si>
  <si>
    <t>Капитальный ремонт многоквартирного жилого дома № 156 по ул. Новая в п. Индига МО "Тиманский сельсовет" НАО</t>
  </si>
  <si>
    <t>Ремонт 12-квартирного жилого дома № 14 по ул. Механизаторов в с. Ома</t>
  </si>
  <si>
    <t xml:space="preserve">Ремонт 12-квартирного жилого дома № 87а в с. Великовисочное </t>
  </si>
  <si>
    <t>Раздел 3. Снос ветхих и аварийных домов, признанных непригодными для проживания</t>
  </si>
  <si>
    <t>Снос дома № 18 по ул. Набережная с. Шойна</t>
  </si>
  <si>
    <t>УЖКХиС Администрации Заполярного района</t>
  </si>
  <si>
    <t>Администрация поселения НАО</t>
  </si>
  <si>
    <t>1.6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</si>
  <si>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</si>
  <si>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</si>
  <si>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</si>
  <si>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</si>
  <si>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</si>
  <si>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</si>
  <si>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</si>
  <si>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</si>
  <si>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</si>
  <si>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План на 2017 год</t>
  </si>
  <si>
    <t>Отчет об использовании денежных средств в рамках исполнения мероприятий подпрограммы 3 "Обеспечение населения муниципального района "Заполярный район" чистой водой"
муниципальной программы "Комплексное развитие поселений муниципального района "Заполярный район" на 2017-2019 годы"</t>
  </si>
  <si>
    <t xml:space="preserve">Раздел 1. Проведение исследований качества воды </t>
  </si>
  <si>
    <t xml:space="preserve">Отбор проб и исследования воды водных объектов: 
п. Каратайка, с. Несь, п. Бугрино, с. Коткино, д. Пылемец, д. Снопа, п. Выучейский, п. Индига, с. Нижняя Пеша, д. Верхняя Пеша, п. Усть-Кара, 
с. Ома, д. Щелино, д. Волоковая, д. Кия, д. Макарово, д. Верхняя Мгла, д. Белушье, д. Вижас, д. Волонга
</t>
  </si>
  <si>
    <t>Раздел 2. Создание условий для обеспечения населения чистой водой</t>
  </si>
  <si>
    <t>Строительство очистных сооружений производительностью 2500 куб. м в сутки в п. Искателей</t>
  </si>
  <si>
    <t>Монтаж и обвязка станции очистки воды в с. Нижняя Пеша</t>
  </si>
  <si>
    <t>2.1</t>
  </si>
  <si>
    <t>2.2</t>
  </si>
  <si>
    <t>2.3</t>
  </si>
  <si>
    <t>МП ЗР "Севержилкомсервис"</t>
  </si>
  <si>
    <t>Отчет об использовании денежных средств в рамках исполнения мероприятий подпрограммы 2 "Развитие транспортной инфраструктуры поселений муниципального района "Заполярный район"
муниципальной программы "Комплексное развитие поселений муниципального района "Заполярный район" на 2017-2019 годы"</t>
  </si>
  <si>
    <t>Раздел 1. Содержание авиаплощадок в поселениях</t>
  </si>
  <si>
    <t>МО "Великовисочный сельсовет" НАО</t>
  </si>
  <si>
    <t>МО "Канинский сельсовет" НАО</t>
  </si>
  <si>
    <t>МО "Карский сельсовет" НАО</t>
  </si>
  <si>
    <t>МО "Коткинский сельсовет" НАО</t>
  </si>
  <si>
    <t>МО "Малоземельский сельсовет" НАО</t>
  </si>
  <si>
    <t>МО "Омский сельсовет" НАО</t>
  </si>
  <si>
    <t>МО "Пешский сельсовет" НАО</t>
  </si>
  <si>
    <t>МО "Пустозерский сельсовет" НАО</t>
  </si>
  <si>
    <t>МО "Тиманский сельсовет" НАО</t>
  </si>
  <si>
    <t>МО "Хорей-Верский сельсовет" НАО</t>
  </si>
  <si>
    <t>МО "Хоседа-Хардский сельсовет" НАО</t>
  </si>
  <si>
    <t>МО "Шоинский сельсовет" НАО</t>
  </si>
  <si>
    <t>МО "Юшарский сельсовет" НАО</t>
  </si>
  <si>
    <t>Администрация Заполярного района</t>
  </si>
  <si>
    <t>Раздел 2. Содержание мест причаливания речного транспорта в поселениях</t>
  </si>
  <si>
    <t>Раздел 3. 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</si>
  <si>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МО "Колгуевский сельсовет" НАО</t>
  </si>
  <si>
    <t>МО "Поселок Амдерма" НАО</t>
  </si>
  <si>
    <t>МО "Приморско-Куйский сельсовет" НАО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</si>
  <si>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</si>
  <si>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</si>
  <si>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</si>
  <si>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</si>
  <si>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</si>
  <si>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</si>
  <si>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</si>
  <si>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</si>
  <si>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</si>
  <si>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</si>
  <si>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</si>
  <si>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</si>
  <si>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</si>
  <si>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</si>
  <si>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</si>
  <si>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Раздел 4.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</si>
  <si>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Подраздел 1. Приобретение и доставка транспортных средств и объектов транспортной инфраструктуры</t>
  </si>
  <si>
    <t>Приобретение и доставка судна на воздушной подушке "Нептун 23"</t>
  </si>
  <si>
    <t>Приобретение и доставка двух мобильных зданий контейнерного типа в с. Нижняя Пеша (помещения ожидания воздушных судов)</t>
  </si>
  <si>
    <t>Подраздел 2. Предоставление иных межбюджетных трансфертов муниципальным образованиям на обозначение и содержание снегоходных маршрутов</t>
  </si>
  <si>
    <t>МО "Андегский сельсовет" НАО</t>
  </si>
  <si>
    <t>МО "Тельвисочный сельсовет" НАО</t>
  </si>
  <si>
    <t>Раздел 5. Капитальный и (или) текущий ремонт зданий, сооружений, вертолетных площадок, взлетно-посадочных полос</t>
  </si>
  <si>
    <t>Капитальный ремонт здания аэропорта в п. Харута</t>
  </si>
  <si>
    <t>Раздел 6. Разработка проектов организации дорожного движения на автомобильных дорогах общего пользования местного значения</t>
  </si>
  <si>
    <t>Отчет об использовании денежных средств в рамках исполнения мероприятий подпрограммы 4 "Энергоэффективность и развитие энергетики муниципального района "Заполярный район"
муниципальной программы "Комплексное развитие поселений муниципального района "Заполярный район" на 2017-2019 годы"</t>
  </si>
  <si>
    <t>Раздел 1. Энергоснабжение и повышение энергетической эффективности</t>
  </si>
  <si>
    <t>Реконструкция объекта "Межпоселковая ЛЭП 10 кВ: с. Нижняя Пеша - д. Волоковая, Ненецкий автономный округ"</t>
  </si>
  <si>
    <t>Разработка проектной документации на реконструкцию тепловых сетей в п. Хорей-Вер</t>
  </si>
  <si>
    <t>Разработка проектной документации на строительство тепловых сетей в п. Хорей-Вер</t>
  </si>
  <si>
    <t>Проведение обследования с корректировкой проектной документации и завершение строительства  ДЭС с гаражом в п. Хорей-Вер с реконструкцией существующих несущих конструкций</t>
  </si>
  <si>
    <t>Строительство объекта "Тепловые сети в с. Нижняя Пеша Ненецкого автономного округа"</t>
  </si>
  <si>
    <t>Капитальный ремонт ЛЭП от опоры № 1 до опоры № 36 в д. Волоковая</t>
  </si>
  <si>
    <t>Капитальный ремонт ЛЭП от опоры № 36 до опоры № 72 в д. Волоковая</t>
  </si>
  <si>
    <t>Капитальный ремонт ЛЭП от опоры № 72 до опоры № 106 в д. Волоковая</t>
  </si>
  <si>
    <t>Капитальный ремонт ЛЭП от опоры № 106 до опоры № 138 в д. Волоковая</t>
  </si>
  <si>
    <t>Капитальный ремонт КТП для ЛЭП в д. Волоковая</t>
  </si>
  <si>
    <t>1.17</t>
  </si>
  <si>
    <t>1.18</t>
  </si>
  <si>
    <t>1.19</t>
  </si>
  <si>
    <t>1.20</t>
  </si>
  <si>
    <t>Раздел 2. Подготовка объектов коммунальной инфраструктуры к осенне-зимнему периоду</t>
  </si>
  <si>
    <t>Замена котла в центральной котельной п. Амдерма</t>
  </si>
  <si>
    <t>Отчет об использовании денежных средств в рамках исполнения мероприятий подпрограммы 5 "Развитие социальной инфраструктуры и создание комфортных условий проживания в поселениях муниципального района "Заполярный район"
муниципальной программы "Комплексное развитие поселений муниципального района "Заполярный район" на 2017-2019 годы"</t>
  </si>
  <si>
    <t>Раздел 1. Строительство объектов образования</t>
  </si>
  <si>
    <t>Строительство объекта "Школа на 100 мест в с. Тельвиска Ненецкого автономного округа"</t>
  </si>
  <si>
    <t>Строительство объекта "Школа на 300 мест в п. Красное"</t>
  </si>
  <si>
    <t>Строительство объекта "Школа на 150 мест в п. Индига"</t>
  </si>
  <si>
    <t>Строительство объекта «Школа на 800 мест в п. Искателей» с разработкой ПСД</t>
  </si>
  <si>
    <t xml:space="preserve">Раздел 2.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</si>
  <si>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</si>
  <si>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</si>
  <si>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</si>
  <si>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Подраздел 2. Предоставление  муниципальным  образованиям иных межбюджетных трансфертов  на возмещение недополученных доходов, возникающих при оказании  населению услуг общественных бань</t>
  </si>
  <si>
    <t>МО "ГП "Рабочий поселок Искателей"</t>
  </si>
  <si>
    <t>Подраздел 3. Строительство (приобретение) и капитальный ремонт общественных бань</t>
  </si>
  <si>
    <t>Приобретение общественной бани в с. Нижняя Пеша МО "Пешский сельсовет" НАО</t>
  </si>
  <si>
    <t>Приобретение бани в д. Белушье</t>
  </si>
  <si>
    <t>Капитальный ремонт общественной бани в п. Выучейский</t>
  </si>
  <si>
    <t>Раздел 3. Благоустройство и уличное освещение территорий поселений</t>
  </si>
  <si>
    <t>Подраздел 1. Благоустройство территорий поселений</t>
  </si>
  <si>
    <t>МО "Городское поселение "Рабочий поселок Искателей"</t>
  </si>
  <si>
    <t>Подраздел 2. Уличное освещение</t>
  </si>
  <si>
    <t>Подраздел 3. Ремонт пешеходных переходов и путепроводов</t>
  </si>
  <si>
    <t>Ремонт пешеходного перехода через протоку в д. Андег</t>
  </si>
  <si>
    <t xml:space="preserve">Раздел 5. Строительство спортивных объектов </t>
  </si>
  <si>
    <t>Завершение строительства объекта «Спортивное сооружение с универсальным игровым залом 
в п. Амдерма НАО» с реконструкцией существующих несущих конструкций</t>
  </si>
  <si>
    <t>Раздел 6. Осуществление работ по гарантийным обязательствам на объектах культуры поселений</t>
  </si>
  <si>
    <t>Ремонтные работы на объекте «Культурно-досуговое учреждение в п. Выучейский»</t>
  </si>
  <si>
    <t>Ремонтные работы на объекте "Культурно-досуговое учреждение в п Хорей-Вер"</t>
  </si>
  <si>
    <t>Раздел 7. Приобретение, установка, содержание и благоустройство мемориальных сооружений и объектов, увековечивающих память погибших при защите Отечества</t>
  </si>
  <si>
    <t>Приобретение и установка 2-х стел участникам ВОВ в д. Белушье и д. Волонга</t>
  </si>
  <si>
    <t>Раздел 8. Оформление правоустанавливающих документов на земельные участки</t>
  </si>
  <si>
    <t>Изготовление межевых планов на земельные участки под места захоронения в МО "Пешский сельсовет" НАО</t>
  </si>
  <si>
    <t>Изготовление межевых планов на земельные участки под питьевые колодцы в МО "Пешский сельсовет" НАО</t>
  </si>
  <si>
    <t>2.1.1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</si>
  <si>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</si>
  <si>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</si>
  <si>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</si>
  <si>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</si>
  <si>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</si>
  <si>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</si>
  <si>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</si>
  <si>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</si>
  <si>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</si>
  <si>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</si>
  <si>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</si>
  <si>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2.3.1</t>
  </si>
  <si>
    <t>2.3.2</t>
  </si>
  <si>
    <t>2.3.3</t>
  </si>
  <si>
    <t>4.1</t>
  </si>
  <si>
    <t>5.1</t>
  </si>
  <si>
    <t>6.1</t>
  </si>
  <si>
    <t>6.2</t>
  </si>
  <si>
    <t>6.3</t>
  </si>
  <si>
    <t>7.1</t>
  </si>
  <si>
    <t>8.1</t>
  </si>
  <si>
    <t>8.2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</si>
  <si>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</si>
  <si>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</si>
  <si>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</si>
  <si>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</si>
  <si>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</si>
  <si>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</si>
  <si>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</si>
  <si>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</si>
  <si>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</si>
  <si>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</si>
  <si>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</si>
  <si>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</si>
  <si>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</si>
  <si>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</si>
  <si>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</si>
  <si>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</si>
  <si>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</si>
  <si>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</si>
  <si>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</si>
  <si>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</si>
  <si>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</si>
  <si>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</si>
  <si>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</si>
  <si>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</si>
  <si>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</si>
  <si>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</si>
  <si>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</si>
  <si>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</si>
  <si>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</si>
  <si>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</si>
  <si>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</si>
  <si>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</si>
  <si>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</si>
  <si>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</si>
  <si>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</si>
  <si>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</si>
  <si>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3.3.1</t>
  </si>
  <si>
    <t>Отчет об использовании денежных средств в рамках исполнения мероприятий подпрограммы 6 "Развитие коммунальной инфраструктуры поселений муниципального района "Заполярный район"
муниципальной программы "Комплексное развитие поселений муниципального района "Заполярный район" на 2017-2019 годы"</t>
  </si>
  <si>
    <t xml:space="preserve">
Раздел 1.  Предоставление муниципальным образованиям иных межбюджетных трансфертов на содержание земельных участков, находящихся в собственности муниципальных образований, предназначенных под складирование отходов
</t>
  </si>
  <si>
    <t>Раздел 2. Участие в организации деятельности по сбору и транспортированию твердых коммунальных отходов:</t>
  </si>
  <si>
    <t>4.2</t>
  </si>
  <si>
    <t>4.1.1</t>
  </si>
  <si>
    <t>4.1.2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</si>
  <si>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</si>
  <si>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</si>
  <si>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</si>
  <si>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</si>
  <si>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</si>
  <si>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</si>
  <si>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</si>
  <si>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</si>
  <si>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</si>
  <si>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</si>
  <si>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</si>
  <si>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6.4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</si>
  <si>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</si>
  <si>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</si>
  <si>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</si>
  <si>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</si>
  <si>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</si>
  <si>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</si>
  <si>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</si>
  <si>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Цена по контракту, тыс.руб.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</si>
  <si>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</si>
  <si>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</si>
  <si>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</si>
  <si>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</si>
  <si>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</si>
  <si>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</si>
  <si>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</si>
  <si>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24.06.2014</t>
  </si>
  <si>
    <t>21.07.2014</t>
  </si>
  <si>
    <t>№0184300000414000225 от 11.08.2014</t>
  </si>
  <si>
    <t>ООО «СТРОЙУНИВЕРСАЛ»</t>
  </si>
  <si>
    <t>УЖКХ и С Адм. ЗР</t>
  </si>
  <si>
    <t>№ 0184300000412000325-0071785-01 от 19.11.2012</t>
  </si>
  <si>
    <t>ОАО "Ненецкая нефтяная компания"</t>
  </si>
  <si>
    <t>УЖКХ и строительства Адм "ЗР"</t>
  </si>
  <si>
    <t>ВСЕГО:</t>
  </si>
  <si>
    <t>ООО «СтройИнвест»</t>
  </si>
  <si>
    <t>№ 0184300000416000020-0291177-03 от 08.06.2016</t>
  </si>
  <si>
    <t>ООО "Оренбург инвест проект"</t>
  </si>
  <si>
    <t>УЖКХиС Адм. ЗР</t>
  </si>
  <si>
    <t>№ 0184300000416000071-0071785-01 от 01.08.2016</t>
  </si>
  <si>
    <t xml:space="preserve">МК №3/13 от 23.05.2013. </t>
  </si>
  <si>
    <t>ООО "Солярисс"</t>
  </si>
  <si>
    <t>ООО "Авторынок"</t>
  </si>
  <si>
    <t>№0184300000412000378-0071785-02 от 29.12.2012</t>
  </si>
  <si>
    <t>ЗАО "СПИНОКС"</t>
  </si>
  <si>
    <t>ООО "Оренбург Инвест Проект"</t>
  </si>
  <si>
    <t>ООО "ЛЕРО"</t>
  </si>
  <si>
    <t>№ 0184300000412000345-0071785-01 от 06.12.2012</t>
  </si>
  <si>
    <t>ООО "Экозем кадастр"</t>
  </si>
  <si>
    <t xml:space="preserve">31.07.2014 г. </t>
  </si>
  <si>
    <t>Договор № 1 и № 2</t>
  </si>
  <si>
    <t>ООО "Полар"</t>
  </si>
  <si>
    <t>Ремонт двух печей в квартире № 7 в жилом доме 31 по ул. Советская в с. Нижняя Пеша МО "Пешский сельсовет" НАО</t>
  </si>
  <si>
    <t>Ремонт кровли жилого дома № 19 в д. Волоковая МО "Пешский сельсовет" НАО</t>
  </si>
  <si>
    <t>Ремонт фундамента жилого дома № 6 по ул. Новая в с. Нижняя Пеша МО "Пешский сельсовет" НАО</t>
  </si>
  <si>
    <t>Раздел 4. Обследование жилых домов с целью признания их аварийными и подлежащими сносу или реконструкции</t>
  </si>
  <si>
    <t>Обследование жилых домов в п. Амдерма, расположенных по адресам: ул. Дубровина, д. 11; ул. Ленина, д. 3; ул. Центральная, д. 2; ул. Центральная, д. 3, с целью признания их аварийными и подлежащими сносу или реконструкции</t>
  </si>
  <si>
    <t>1.21</t>
  </si>
  <si>
    <t>1.22</t>
  </si>
  <si>
    <t>ООО "РСК НАО"</t>
  </si>
  <si>
    <t>№ 0184300000417000014_261129 от 10.05.2017</t>
  </si>
  <si>
    <t>28.03.2017</t>
  </si>
  <si>
    <t>20.02.2017</t>
  </si>
  <si>
    <t>ООО "СЕВЕРПРОМСНАБ"</t>
  </si>
  <si>
    <t>№ 0184300000416000025-0291177-03 от 26.05.2016</t>
  </si>
  <si>
    <t>06.05.2016</t>
  </si>
  <si>
    <t>31.03.2016</t>
  </si>
  <si>
    <t>Раздел 7. Строительство улично-дорожной сети</t>
  </si>
  <si>
    <t>Строительство улично-дорожной сети микрорайона Факел поселка Искателей</t>
  </si>
  <si>
    <t>7.1.</t>
  </si>
  <si>
    <t>4.1.3</t>
  </si>
  <si>
    <t>Приобретение и доставка двигателя для СВП "Нептун 23"</t>
  </si>
  <si>
    <t>1.23</t>
  </si>
  <si>
    <t>Замена фонарей уличного освещения в п. Харута МО "Хоседа-Хардский сельсовет" НАО</t>
  </si>
  <si>
    <t>Ремонтные работы на объекте "Культурно-досуговое учреждение в д. Вижас"</t>
  </si>
  <si>
    <t>Изготовление межевого плана на земельный участок под размещение кладбища в д. Чижа МО "Канинский сельсовет" НАО</t>
  </si>
  <si>
    <t>Изготовление межевых планов на 9 земельных участков под объекты жилищно-коммунального хозяйства, находящихся на территории МО "Коткинский сельсовет" НАО</t>
  </si>
  <si>
    <t>8.3</t>
  </si>
  <si>
    <t>8.4</t>
  </si>
  <si>
    <t>9.1</t>
  </si>
  <si>
    <t>10.1</t>
  </si>
  <si>
    <t>Раздел 3. Приобретение коммунальной (специализированной) техники</t>
  </si>
  <si>
    <t>Приобретение и доставка трактора лесохозяйственного с самосвальным кузовом ОТЗ-392</t>
  </si>
  <si>
    <t>№0184300000417000030 от 30.04.2017</t>
  </si>
  <si>
    <t>ООО «РегионСтройСнаб»</t>
  </si>
  <si>
    <t>Адм МО</t>
  </si>
  <si>
    <t>№ 0184300000417000048-0253295-01 от 12.06.2017</t>
  </si>
  <si>
    <t>№ 0184300000416000099-0291177-01 от 10.10.2016</t>
  </si>
  <si>
    <t>ООО "Теплогазстрой"</t>
  </si>
  <si>
    <t>ООО "Инженерная компания "Теплогазстрой"</t>
  </si>
  <si>
    <t>№ 0184300000416000105-0291177-01 от 10.10.2016</t>
  </si>
  <si>
    <t>Грант</t>
  </si>
  <si>
    <t>1.24</t>
  </si>
  <si>
    <t>1.25</t>
  </si>
  <si>
    <t>1.26</t>
  </si>
  <si>
    <t xml:space="preserve">№0184300000413000226-0071785-01 от 10.09.2013 </t>
  </si>
  <si>
    <t>№ 0184300000417000033_245397 от 30.05.2017</t>
  </si>
  <si>
    <t>ООО "Орион"</t>
  </si>
  <si>
    <t>№ 0184300000417000040-0291177-03 от 13.06.2017</t>
  </si>
  <si>
    <t>ООО "КТА.ЛЕС"</t>
  </si>
  <si>
    <t>№ 0184300000417000041-0291177-01 от 30.05.2017</t>
  </si>
  <si>
    <t>ООО "Ненецкая Строительно-Монтажная Компания"</t>
  </si>
  <si>
    <t>27.04.217</t>
  </si>
  <si>
    <t>16.05.2017</t>
  </si>
  <si>
    <t>30.03.2016</t>
  </si>
  <si>
    <t>05.05.216</t>
  </si>
  <si>
    <t>№ 0184300000417000034_245397 от 31.05.2017</t>
  </si>
  <si>
    <t>30.03.20017</t>
  </si>
  <si>
    <t>25.04.2017</t>
  </si>
  <si>
    <t>Общество с ограниченной ответственностью "Орион"</t>
  </si>
  <si>
    <t>№ 0184300000417000024_178372 от 02.05.2017</t>
  </si>
  <si>
    <t>17.03.2017</t>
  </si>
  <si>
    <t>17.04.2017</t>
  </si>
  <si>
    <t>ООО "СМП-83"</t>
  </si>
  <si>
    <t>17.05.2017</t>
  </si>
  <si>
    <t>30.05.2017</t>
  </si>
  <si>
    <t>Общество с ограниченной ответственностью "АС_СТРОЙ"</t>
  </si>
  <si>
    <t>17.05.20017</t>
  </si>
  <si>
    <t>№ 0184300000416000090-0070756-03 от 08.09.2016</t>
  </si>
  <si>
    <t>29.07.2016</t>
  </si>
  <si>
    <t>23.08.2016</t>
  </si>
  <si>
    <t>26.06.2017</t>
  </si>
  <si>
    <t>07.07.2017</t>
  </si>
  <si>
    <t>ООО «М-СЕРВИС</t>
  </si>
  <si>
    <t>№ 0184300000417000052-0291177-01 от 26.06.2017</t>
  </si>
  <si>
    <t>22.05.2017</t>
  </si>
  <si>
    <t>ООО "СМУ1"</t>
  </si>
  <si>
    <t>14.06.2017</t>
  </si>
  <si>
    <t>28.06.2016</t>
  </si>
  <si>
    <t>18.07.2016</t>
  </si>
  <si>
    <t>№ 0184300000416000034-0291177-01 от 06.06.2016 г.</t>
  </si>
  <si>
    <t>ИП Хабаров В.Л.</t>
  </si>
  <si>
    <t>07.2017</t>
  </si>
  <si>
    <t>Текущий ремонт в жилом доме № 28 по ул. Почтовая в с. Ома МО «Омский сельсовет» НАО</t>
  </si>
  <si>
    <t>Текущий ремонт жилого дома № 12 по ул. Ягодная в с. Несь МО «Канинский сельсовет» НАО</t>
  </si>
  <si>
    <t>Ремонт жилого дома № 37 по ул. Центральная в п. Каратайка МО «Юшарский сельсовет» НАО</t>
  </si>
  <si>
    <t>Ремонт электропроводки в 4-квартирном жилом доме № 30 по ул. Советская в с. Несь, МО «Канинский сельсовет» НАО</t>
  </si>
  <si>
    <t>Текущий ремонт жилого дома № 31 по ул. Советская в с. Нижняя Пеша (ремонт электропроводки в кв. № 2), МО «Пешский сельсовет» НАО</t>
  </si>
  <si>
    <t>Текущий ремонт жилого дома № 30 по ул. Новая в с. Нижняя Пеша (ремонт электропроводки в кв. № 2), МО «Пешский сельсовет» НАО</t>
  </si>
  <si>
    <t>Текущий ремонт жилого дома № 16А по ул. Калинина в с. Нижняя Пеша (ремонт электропроводки в кв. № 1), МО «Пешский сельсовет» НАО</t>
  </si>
  <si>
    <t>Текущий ремонт в жилом доме № 19 в д. Волоковая (ремонт электропроводки), МО «Пешский сельсовет» НАО</t>
  </si>
  <si>
    <t>Ремонт общежития по ул. Школьная, д. 1 в д. Андег МО "Андегский сельсовет" НАО</t>
  </si>
  <si>
    <t>Снос дома № 21 по ул. Центральная в с. Тельвиска МО «Тельвисочный сельсовет» НАО</t>
  </si>
  <si>
    <t>Раздел 5. Разработка проектов, проверка достоверности определения сметной стоимости</t>
  </si>
  <si>
    <t>1.27</t>
  </si>
  <si>
    <t>1.28</t>
  </si>
  <si>
    <t>1.29</t>
  </si>
  <si>
    <t>1.30</t>
  </si>
  <si>
    <t>1.31</t>
  </si>
  <si>
    <t>1.32</t>
  </si>
  <si>
    <t>УЖКХиС Адм. ЗР; Адм.ЗР</t>
  </si>
  <si>
    <t>08.2017</t>
  </si>
  <si>
    <t>10.2017</t>
  </si>
  <si>
    <t xml:space="preserve"> № 0184300000417000085-0195348-01 от 30.08.2017
</t>
  </si>
  <si>
    <t>ООО "Инженерно-техническая компания "Феникс"</t>
  </si>
  <si>
    <t>договор подряда</t>
  </si>
  <si>
    <t>2017</t>
  </si>
  <si>
    <t>УЖКХиС Администрации Заполярного района, Администрация Заполярного района</t>
  </si>
  <si>
    <t>Обустройство осушительной канавы на взлетно-посадочной полосе в д. Чижа МО «Канинский сельсовет» НАО</t>
  </si>
  <si>
    <t>Текущий ремонт участка дороги «п. Нельмин-Нос – Вертолётная площадка – Площадка размещения отходов в п. Нельмин-Нос» протяженностью 386 м.</t>
  </si>
  <si>
    <t>5.2</t>
  </si>
  <si>
    <t>5.3</t>
  </si>
  <si>
    <t>4.1.4</t>
  </si>
  <si>
    <t>Приобретение и доставка мобильного здания контейнерного типа в с. Шойна МО Шоинский сельсовет» НАО (помещения ожидания воздушных судов)</t>
  </si>
  <si>
    <t>4.1.5</t>
  </si>
  <si>
    <t>Приобретение и доставка мобильного здания контейнерного типа с санями-волокушами в д. Чижа МО «Канинский сельсовет» НАО (помещения ожидания воздушных судов)</t>
  </si>
  <si>
    <t>2.4</t>
  </si>
  <si>
    <t>Проведение ремонтно-восстановительных работ на станции очистки воды (БВПУ) в д. Лабожское</t>
  </si>
  <si>
    <t>Строительство объекта "Корпус школы в с. Нижняя Пеша"</t>
  </si>
  <si>
    <t>Раздел 9. Разработка программ комплексного развития поселений</t>
  </si>
  <si>
    <t>8.5</t>
  </si>
  <si>
    <t>Изготовление межевых планов на 4 земельных участка, расположенных на территории МО «Шоинский сельсовет» НАО»</t>
  </si>
  <si>
    <t>Раздел 10. Иные мероприятия</t>
  </si>
  <si>
    <t>Благоустройство дворовой территории по ул. Монтажников, дома 4; 2; 2А; 2Б; 4А; 4Б; 4В; 6В; 6Б; 6А; 6</t>
  </si>
  <si>
    <t>10.2</t>
  </si>
  <si>
    <t xml:space="preserve">Вывоз песка от придомовых территорий по ул. Набережная, д. № 1, д. № 4, ул. Восточная, д. № 2, ул. Заполярная, д. № 4 в п. Шойна МО "Шоинский сельсовет" НАО </t>
  </si>
  <si>
    <t>Строительный контроль на строящемся объекте «Спортивное сооружение с универсальным игровым залом в п. Амдерма НАО»</t>
  </si>
  <si>
    <t>Приобретение и поставка полуприцепа тракторного вакуумного в п. Шойна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</si>
  <si>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</si>
  <si>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2.3.4</t>
  </si>
  <si>
    <t>2.3.5</t>
  </si>
  <si>
    <t>2.3.6</t>
  </si>
  <si>
    <t>2.3.7</t>
  </si>
  <si>
    <t>2.3.8</t>
  </si>
  <si>
    <t>2.3.9</t>
  </si>
  <si>
    <t>всего</t>
  </si>
  <si>
    <t>14.08.2017</t>
  </si>
  <si>
    <t>№ 0184300000417000088-0195362-01 от 25.08.2017</t>
  </si>
  <si>
    <t>ИП Ледков Н.Г.</t>
  </si>
  <si>
    <t>28.07.2017</t>
  </si>
  <si>
    <t>№ 0184300000417000061-0291177-01 от 11.07.2017</t>
  </si>
  <si>
    <t>ООО "Ховеркрафт"</t>
  </si>
  <si>
    <t>№ 0184300000417000097-0195362-01 от 04.09.2017</t>
  </si>
  <si>
    <t>№ ф.2017.385505 от 07.09.2017</t>
  </si>
  <si>
    <t>ИП Вокуев В.А.</t>
  </si>
  <si>
    <t>№ 0184300000514000046_249934 от 29.10.2014</t>
  </si>
  <si>
    <t>ГУП НАО "Нарьян-Мардорремстрой"</t>
  </si>
  <si>
    <t>№ 0184300000417000094-0071785-01 от 05.09.2017</t>
  </si>
  <si>
    <t>ООО "ЭКОСТАНДАРТ "ТЕХНИЧЕСКИЕ РЕШЕНИЯ"</t>
  </si>
  <si>
    <t>Адм. ЗР</t>
  </si>
  <si>
    <t>№ 0584600000217000003 от 18.08.2017</t>
  </si>
  <si>
    <t>ООО ПФ "ПОЛИХИММАШ"</t>
  </si>
  <si>
    <t>Адм. МО</t>
  </si>
  <si>
    <t>№ 0184300000417000068-0071785-02 от 02.08.2017</t>
  </si>
  <si>
    <t>ООО "Торговый дом Онежские лесные машины"</t>
  </si>
  <si>
    <t>по состоянию на 01 января 2018  года (с начала года нарастающим итогом)</t>
  </si>
  <si>
    <t>План на 01.01.2018</t>
  </si>
  <si>
    <t>Ремонт электропроводки в кв. № 5 жилого дома № 19 по ул. Калинина в с. Нижняя Пеша, МО "Пешский сельсовет" НАО</t>
  </si>
  <si>
    <t>Ремонт системы отопления в квартире № 2 в жилом доме 2 по ул. Ягодная в с. Несь МО "Канинский сельсовет" НАО</t>
  </si>
  <si>
    <t>Раздел 6. Содержание имущества, находящегося в муниципальной собственности поселения</t>
  </si>
  <si>
    <t>Установка общедомовых приборов учета электроэнергии в многоквартирных жилых домах в с. Шойна по адресу: ул. Набережная, д. 6 и д. 10</t>
  </si>
  <si>
    <t>Ремонт выгребной ямы в жилом доме 87 в с. Великовисочное МО «Великовисочный сельсовет» НАО</t>
  </si>
  <si>
    <t>4.1.6</t>
  </si>
  <si>
    <t>Приобретение и доставка двух мобильных зданий контейнерного типа в п. Усть-Кара МО "Карский сельсовет" НАО (помещение ожидания воздушных судов)</t>
  </si>
  <si>
    <t>ВИ</t>
  </si>
  <si>
    <t>2.5</t>
  </si>
  <si>
    <t>Проведение ремонтно-восстановительных работ на станции очистки воды (БВПУ) в п. Индига</t>
  </si>
  <si>
    <t>Доставка и монтаж резервного источника электроснабжения в д. Тошвиска МО "Великовисочный сельсовет" НАО</t>
  </si>
  <si>
    <t>Администрация ЗР</t>
  </si>
  <si>
    <t>2.6</t>
  </si>
  <si>
    <t>Поставка котла отопительного в котельную "Орбита" в с. Тельвиска</t>
  </si>
  <si>
    <t>Поставка инверторов для источников бесперебойного питания д. Мгла, д. Волонга, д. Белушье, п. Варнек, д. Устье</t>
  </si>
  <si>
    <t>Приобретение жидкотопливных котлов (58 шт.) для обеспечения теплоснабжением социальных объектов в д. Каменка, п. Хонгурей, п. Шойна, п. Индига, п. Выучейский, п. Верхняя Пеша</t>
  </si>
  <si>
    <t>Поставка емкостей (20 шт.) для хранения дизельного топлива  в с. Ома МО "Омский сельсовет" НАО</t>
  </si>
  <si>
    <t>по состоянию на 01 января 2018 года (с начала года нарастающим итогом)</t>
  </si>
  <si>
    <t>3.3.2</t>
  </si>
  <si>
    <t>Ремонт моста через протоку озера "Захребетное" в п.Красное МО "Приморско-Куйский сельсовет" НАО</t>
  </si>
  <si>
    <t>Ремонтные работы на объекте "Школа на 110 мест в п. Нижняя Пеша" Ненецкого автономного округа</t>
  </si>
  <si>
    <t>8.6</t>
  </si>
  <si>
    <t>Проведение кадастровых работ по формированию земельных участков</t>
  </si>
  <si>
    <t>ИИ</t>
  </si>
  <si>
    <t>3.16</t>
  </si>
  <si>
    <t>5</t>
  </si>
  <si>
    <t>Приобретение аккумуляторов для обеспечения бесперебойного электроснабжения д. Мгла, д. Волонга, д. Белушье, п. Варнек, д. Устье</t>
  </si>
  <si>
    <t>% кассового исполнения средств районного бюджета в отчетном периоде по отношению к графе 5</t>
  </si>
  <si>
    <t>% фактического исполнения средств районного бюджета в отчетном периоде по отношению к графе 5</t>
  </si>
  <si>
    <t>ОБ</t>
  </si>
  <si>
    <t>РБ</t>
  </si>
  <si>
    <t>касса</t>
  </si>
  <si>
    <t xml:space="preserve">0184300002217000001-0195357-01 от 28.08.2017 </t>
  </si>
  <si>
    <t>МП ЗР "СЖКС"</t>
  </si>
  <si>
    <t>№ 0184300000417000086-0291177-03  от 05.09.2017</t>
  </si>
  <si>
    <t>ООО «СТРОЙ-ГАЛЕРЕЯ»</t>
  </si>
  <si>
    <t xml:space="preserve"> № 0184300000417000066-0291177-01 от 29.07.2017</t>
  </si>
  <si>
    <t>№ 0184300000417000075-0253295-02 от 14.08.2017</t>
  </si>
  <si>
    <t>ИП Меньшиков И.А.</t>
  </si>
  <si>
    <t>№ 0184300000417000071-0253295-01 от 31.07.2017</t>
  </si>
  <si>
    <t>№ 0184300000417000072-0253295-01 от 04.08.2017</t>
  </si>
  <si>
    <t>№ 0184300000416000135-0291177-01 от 30.12.20116</t>
  </si>
  <si>
    <t>0184300000417000045-0071785-01 от 29.05.2017</t>
  </si>
  <si>
    <t>ООО "АктивПроект"</t>
  </si>
  <si>
    <t>0184300000417000102-0195352-01 от 18.09.2017</t>
  </si>
  <si>
    <t>ООО "Ненецкая строительно-ремонтная организация"</t>
  </si>
  <si>
    <t>№ 0184300000417000053-0291177-02 от 03.07.2017</t>
  </si>
  <si>
    <t>ООО «Строй-Галерея»</t>
  </si>
  <si>
    <t>0184300000517000020 от 12.09.2017</t>
  </si>
  <si>
    <t>ГУП НАО «Нарьян-Мардорремстрой»</t>
  </si>
  <si>
    <t xml:space="preserve">№ 0184300000417000051-0253288-01 от 15.06.2017 и № 0184300000417000081-0253288-02 от 24.08.2017 </t>
  </si>
  <si>
    <t>11.09.2017; 20.10.2017</t>
  </si>
  <si>
    <t>11.09.2017; 30.11.2017</t>
  </si>
  <si>
    <t>№ 0184300000417000050-0253288-01 от 15.06.2017 и № 0184300000417000083-0253288-01 от 21.08.2017</t>
  </si>
  <si>
    <t>ООО "АС_СТРОЙ"</t>
  </si>
  <si>
    <t>ООО "АС_СТРОЙ"; ООО «ЛидерСтрой»</t>
  </si>
  <si>
    <t>ГУП НАО "НКЭС"</t>
  </si>
  <si>
    <t>№ 22/у-2017 от 15.12.2017</t>
  </si>
  <si>
    <t>СЖКС</t>
  </si>
  <si>
    <t>Цена по контракту, тыс. руб.</t>
  </si>
  <si>
    <t>1 374,37</t>
  </si>
  <si>
    <t>2524/3/17 от 27.07.2017</t>
  </si>
  <si>
    <t xml:space="preserve">ООО "СеверПромСнаб" </t>
  </si>
  <si>
    <t xml:space="preserve">26-06/2017 от 12.07.2017 </t>
  </si>
  <si>
    <t xml:space="preserve">ООО" Геосервис" </t>
  </si>
  <si>
    <t>№ 2151117 от 02.11.2017</t>
  </si>
  <si>
    <t>ИП Тадиашвили Р.О.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</si>
</sst>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"/>
    <numFmt numFmtId="165" formatCode="0.0"/>
    <numFmt numFmtId="166" formatCode="0.0%"/>
    <numFmt numFmtId="167" formatCode="#,##0.0_р_."/>
    <numFmt numFmtId="168" formatCode="_-* #,##0.0_р_._-;\-* #,##0.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43" fontId="4" fillId="0" borderId="0" applyFont="0" applyFill="0" applyBorder="0" applyAlignment="0" applyProtection="0"/>
    <xf numFmtId="0" fontId="2" fillId="0" borderId="0"/>
  </cellStyleXfs>
  <cellXfs count="225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16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49" fontId="9" fillId="0" borderId="4" xfId="2" applyNumberFormat="1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justify" vertical="center" wrapText="1"/>
    </xf>
    <xf numFmtId="0" fontId="9" fillId="3" borderId="4" xfId="1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49" fontId="9" fillId="2" borderId="4" xfId="2" applyNumberFormat="1" applyFont="1" applyFill="1" applyBorder="1" applyAlignment="1">
      <alignment horizontal="left" vertical="center" wrapText="1"/>
    </xf>
    <xf numFmtId="0" fontId="12" fillId="0" borderId="0" xfId="0" applyFont="1"/>
    <xf numFmtId="0" fontId="13" fillId="4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3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2" fillId="0" borderId="0" xfId="0" applyFont="1" applyFill="1"/>
    <xf numFmtId="1" fontId="11" fillId="0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left" vertical="center" wrapText="1"/>
    </xf>
    <xf numFmtId="14" fontId="11" fillId="0" borderId="2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43" fontId="11" fillId="0" borderId="3" xfId="0" applyNumberFormat="1" applyFont="1" applyFill="1" applyBorder="1" applyAlignment="1">
      <alignment horizontal="center" vertical="center" wrapText="1"/>
    </xf>
    <xf numFmtId="14" fontId="11" fillId="0" borderId="3" xfId="0" applyNumberFormat="1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14" fontId="11" fillId="0" borderId="3" xfId="0" applyNumberFormat="1" applyFont="1" applyFill="1" applyBorder="1" applyAlignment="1">
      <alignment horizontal="center" vertical="center" wrapText="1"/>
    </xf>
    <xf numFmtId="167" fontId="11" fillId="0" borderId="3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167" fontId="11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4" fontId="11" fillId="0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3" xfId="0" applyFont="1" applyFill="1" applyBorder="1" applyAlignment="1">
      <alignment horizontal="left" vertical="center" wrapText="1"/>
    </xf>
    <xf numFmtId="168" fontId="11" fillId="2" borderId="1" xfId="4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11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3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justify" vertical="center" wrapText="1"/>
    </xf>
    <xf numFmtId="0" fontId="9" fillId="0" borderId="10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left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vertical="center"/>
    </xf>
    <xf numFmtId="0" fontId="9" fillId="2" borderId="1" xfId="2" applyFont="1" applyFill="1" applyBorder="1" applyAlignment="1">
      <alignment vertical="center"/>
    </xf>
    <xf numFmtId="0" fontId="11" fillId="0" borderId="1" xfId="2" applyFont="1" applyFill="1" applyBorder="1" applyAlignment="1">
      <alignment vertical="center"/>
    </xf>
    <xf numFmtId="0" fontId="9" fillId="0" borderId="1" xfId="2" applyFont="1" applyFill="1" applyBorder="1" applyAlignment="1">
      <alignment vertical="center" wrapText="1"/>
    </xf>
    <xf numFmtId="0" fontId="11" fillId="2" borderId="1" xfId="2" applyFont="1" applyFill="1" applyBorder="1" applyAlignment="1">
      <alignment vertical="center" wrapText="1"/>
    </xf>
    <xf numFmtId="0" fontId="9" fillId="2" borderId="7" xfId="1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9" fillId="0" borderId="1" xfId="2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167" fontId="11" fillId="0" borderId="4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49" fontId="11" fillId="0" borderId="2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164" fontId="9" fillId="0" borderId="1" xfId="2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1" xfId="0" quotePrefix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10" fontId="0" fillId="0" borderId="0" xfId="0" applyNumberFormat="1"/>
    <xf numFmtId="164" fontId="17" fillId="0" borderId="0" xfId="0" applyNumberFormat="1" applyFont="1" applyFill="1"/>
    <xf numFmtId="14" fontId="1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left" vertical="center" wrapText="1"/>
    </xf>
    <xf numFmtId="164" fontId="9" fillId="0" borderId="10" xfId="0" applyNumberFormat="1" applyFont="1" applyBorder="1" applyAlignment="1">
      <alignment horizontal="left" vertical="center" wrapText="1"/>
    </xf>
    <xf numFmtId="164" fontId="9" fillId="0" borderId="4" xfId="0" applyNumberFormat="1" applyFont="1" applyFill="1" applyBorder="1" applyAlignment="1">
      <alignment horizontal="left" vertical="center" wrapText="1"/>
    </xf>
    <xf numFmtId="164" fontId="11" fillId="0" borderId="1" xfId="2" applyNumberFormat="1" applyFont="1" applyFill="1" applyBorder="1" applyAlignment="1">
      <alignment vertical="center"/>
    </xf>
    <xf numFmtId="164" fontId="11" fillId="2" borderId="1" xfId="2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center" wrapText="1"/>
    </xf>
    <xf numFmtId="0" fontId="13" fillId="0" borderId="3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4" fontId="11" fillId="0" borderId="2" xfId="0" applyNumberFormat="1" applyFont="1" applyFill="1" applyBorder="1" applyAlignment="1">
      <alignment horizontal="center" vertical="center" wrapText="1"/>
    </xf>
    <xf numFmtId="14" fontId="11" fillId="0" borderId="3" xfId="0" applyNumberFormat="1" applyFont="1" applyFill="1" applyBorder="1" applyAlignment="1">
      <alignment horizontal="center" vertical="center" wrapText="1"/>
    </xf>
    <xf numFmtId="14" fontId="11" fillId="0" borderId="4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left" vertical="center" wrapText="1"/>
    </xf>
    <xf numFmtId="164" fontId="7" fillId="0" borderId="4" xfId="0" applyNumberFormat="1" applyFont="1" applyFill="1" applyBorder="1" applyAlignment="1">
      <alignment horizontal="left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46"/>
  <sheetViews>
    <sheetView zoomScale="90" zoomScaleNormal="90" zoomScaleSheetLayoutView="80" workbookViewId="0">
      <selection activeCell="J44" sqref="J44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7" width="16.85546875" style="1" customWidth="1"/>
    <col min="8" max="8" width="14.85546875" style="132" customWidth="1"/>
    <col min="9" max="9" width="15.28515625" style="132" customWidth="1"/>
    <col min="10" max="10" width="16.42578125" style="132" customWidth="1"/>
    <col min="11" max="11" width="15.85546875" style="132" customWidth="1"/>
    <col min="12" max="12" width="13.85546875" style="132" customWidth="1"/>
    <col min="13" max="13" width="14.85546875" style="132" customWidth="1"/>
    <col min="14" max="14" width="25.85546875" style="132" customWidth="1"/>
    <col min="15" max="15" width="26.140625" style="132" customWidth="1"/>
    <col min="16" max="16384" width="9.140625" style="1"/>
  </cols>
  <sheetData>
    <row r="1" spans="1:15" ht="51" customHeight="1" x14ac:dyDescent="0.25">
      <c r="A1" s="178" t="s">
        <v>23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</row>
    <row r="2" spans="1:15" ht="18.75" customHeight="1" x14ac:dyDescent="0.25">
      <c r="A2" s="185" t="s">
        <v>430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7"/>
    </row>
    <row r="3" spans="1:15" s="2" customFormat="1" ht="33" customHeight="1" x14ac:dyDescent="0.25">
      <c r="A3" s="178" t="s">
        <v>22</v>
      </c>
      <c r="B3" s="178" t="s">
        <v>20</v>
      </c>
      <c r="C3" s="178" t="s">
        <v>7</v>
      </c>
      <c r="D3" s="178" t="s">
        <v>21</v>
      </c>
      <c r="E3" s="190" t="s">
        <v>431</v>
      </c>
      <c r="F3" s="191"/>
      <c r="G3" s="192"/>
      <c r="H3" s="178" t="s">
        <v>8</v>
      </c>
      <c r="I3" s="178"/>
      <c r="J3" s="178"/>
      <c r="K3" s="178" t="s">
        <v>9</v>
      </c>
      <c r="L3" s="178"/>
      <c r="M3" s="178"/>
      <c r="N3" s="188" t="s">
        <v>459</v>
      </c>
      <c r="O3" s="178" t="s">
        <v>460</v>
      </c>
    </row>
    <row r="4" spans="1:15" s="2" customFormat="1" ht="59.25" customHeight="1" x14ac:dyDescent="0.25">
      <c r="A4" s="178"/>
      <c r="B4" s="178"/>
      <c r="C4" s="178"/>
      <c r="D4" s="178"/>
      <c r="E4" s="135" t="s">
        <v>1</v>
      </c>
      <c r="F4" s="135" t="s">
        <v>10</v>
      </c>
      <c r="G4" s="135" t="s">
        <v>11</v>
      </c>
      <c r="H4" s="135" t="s">
        <v>1</v>
      </c>
      <c r="I4" s="135" t="s">
        <v>10</v>
      </c>
      <c r="J4" s="135" t="s">
        <v>11</v>
      </c>
      <c r="K4" s="135" t="s">
        <v>1</v>
      </c>
      <c r="L4" s="135" t="s">
        <v>10</v>
      </c>
      <c r="M4" s="135" t="s">
        <v>11</v>
      </c>
      <c r="N4" s="189"/>
      <c r="O4" s="178"/>
    </row>
    <row r="5" spans="1:15" s="2" customFormat="1" ht="22.5" customHeight="1" x14ac:dyDescent="0.25">
      <c r="A5" s="71">
        <v>1</v>
      </c>
      <c r="B5" s="71">
        <v>2</v>
      </c>
      <c r="C5" s="71">
        <v>3</v>
      </c>
      <c r="D5" s="71">
        <v>4</v>
      </c>
      <c r="E5" s="71">
        <v>5</v>
      </c>
      <c r="F5" s="71">
        <v>6</v>
      </c>
      <c r="G5" s="71">
        <v>7</v>
      </c>
      <c r="H5" s="135">
        <v>8</v>
      </c>
      <c r="I5" s="135">
        <v>9</v>
      </c>
      <c r="J5" s="135">
        <v>10</v>
      </c>
      <c r="K5" s="135">
        <v>11</v>
      </c>
      <c r="L5" s="135">
        <v>12</v>
      </c>
      <c r="M5" s="135">
        <v>13</v>
      </c>
      <c r="N5" s="135">
        <v>14</v>
      </c>
      <c r="O5" s="135">
        <v>15</v>
      </c>
    </row>
    <row r="6" spans="1:15" s="2" customFormat="1" ht="18.75" customHeight="1" x14ac:dyDescent="0.25">
      <c r="A6" s="93"/>
      <c r="B6" s="178" t="s">
        <v>24</v>
      </c>
      <c r="C6" s="178"/>
      <c r="D6" s="178"/>
      <c r="E6" s="6">
        <f t="shared" ref="E6:M6" si="0">SUM(E7:E10)</f>
        <v>31196.556270000001</v>
      </c>
      <c r="F6" s="6">
        <f t="shared" si="0"/>
        <v>6170.3</v>
      </c>
      <c r="G6" s="6">
        <f t="shared" si="0"/>
        <v>25026.256269999998</v>
      </c>
      <c r="H6" s="6">
        <f t="shared" si="0"/>
        <v>31133.64</v>
      </c>
      <c r="I6" s="6">
        <f t="shared" si="0"/>
        <v>6170.34</v>
      </c>
      <c r="J6" s="6">
        <f t="shared" si="0"/>
        <v>24963.300000000003</v>
      </c>
      <c r="K6" s="6">
        <f t="shared" si="0"/>
        <v>31133.64</v>
      </c>
      <c r="L6" s="6">
        <f t="shared" si="0"/>
        <v>6170.34</v>
      </c>
      <c r="M6" s="6">
        <f t="shared" si="0"/>
        <v>24963.300000000003</v>
      </c>
      <c r="N6" s="139">
        <f>H6/E6</f>
        <v>0.99798323028171843</v>
      </c>
      <c r="O6" s="139">
        <f>K6/E6</f>
        <v>0.99798323028171843</v>
      </c>
    </row>
    <row r="7" spans="1:15" s="2" customFormat="1" ht="58.5" customHeight="1" x14ac:dyDescent="0.25">
      <c r="A7" s="4" t="s">
        <v>12</v>
      </c>
      <c r="B7" s="8" t="s">
        <v>25</v>
      </c>
      <c r="C7" s="11" t="s">
        <v>39</v>
      </c>
      <c r="D7" s="11" t="s">
        <v>3</v>
      </c>
      <c r="E7" s="3">
        <f>G7</f>
        <v>9800.4562700000006</v>
      </c>
      <c r="F7" s="3">
        <v>0</v>
      </c>
      <c r="G7" s="3">
        <v>9800.4562700000006</v>
      </c>
      <c r="H7" s="3">
        <f>J7</f>
        <v>9800.5</v>
      </c>
      <c r="I7" s="3">
        <v>0</v>
      </c>
      <c r="J7" s="3">
        <v>9800.5</v>
      </c>
      <c r="K7" s="3">
        <f>M7</f>
        <v>9800.5</v>
      </c>
      <c r="L7" s="3">
        <v>0</v>
      </c>
      <c r="M7" s="3">
        <v>9800.5</v>
      </c>
      <c r="N7" s="13">
        <f>H7/E7</f>
        <v>1.0000044620371535</v>
      </c>
      <c r="O7" s="13">
        <f>K7/E7</f>
        <v>1.0000044620371535</v>
      </c>
    </row>
    <row r="8" spans="1:15" s="2" customFormat="1" ht="64.5" customHeight="1" x14ac:dyDescent="0.25">
      <c r="A8" s="4" t="s">
        <v>13</v>
      </c>
      <c r="B8" s="8" t="s">
        <v>26</v>
      </c>
      <c r="C8" s="11" t="s">
        <v>39</v>
      </c>
      <c r="D8" s="11" t="s">
        <v>3</v>
      </c>
      <c r="E8" s="3">
        <f t="shared" ref="E8:E10" si="1">G8</f>
        <v>1253.3</v>
      </c>
      <c r="F8" s="3">
        <v>0</v>
      </c>
      <c r="G8" s="3">
        <v>1253.3</v>
      </c>
      <c r="H8" s="3">
        <f t="shared" ref="H8" si="2">J8</f>
        <v>1190.3</v>
      </c>
      <c r="I8" s="3">
        <v>0</v>
      </c>
      <c r="J8" s="3">
        <v>1190.3</v>
      </c>
      <c r="K8" s="3">
        <f t="shared" ref="K8" si="3">M8</f>
        <v>1190.3</v>
      </c>
      <c r="L8" s="3">
        <v>0</v>
      </c>
      <c r="M8" s="3">
        <v>1190.3</v>
      </c>
      <c r="N8" s="13">
        <f t="shared" ref="N8:N9" si="4">H8/E8</f>
        <v>0.94973270565706536</v>
      </c>
      <c r="O8" s="13">
        <f t="shared" ref="O8:O12" si="5">K8/E8</f>
        <v>0.94973270565706536</v>
      </c>
    </row>
    <row r="9" spans="1:15" s="2" customFormat="1" ht="69" customHeight="1" x14ac:dyDescent="0.25">
      <c r="A9" s="4" t="s">
        <v>14</v>
      </c>
      <c r="B9" s="8" t="s">
        <v>27</v>
      </c>
      <c r="C9" s="11" t="s">
        <v>375</v>
      </c>
      <c r="D9" s="11" t="s">
        <v>3</v>
      </c>
      <c r="E9" s="3">
        <f>F9+G9</f>
        <v>15299.900000000001</v>
      </c>
      <c r="F9" s="3">
        <v>6170.3</v>
      </c>
      <c r="G9" s="3">
        <v>9129.6</v>
      </c>
      <c r="H9" s="3">
        <f>I9+J9</f>
        <v>15299.94</v>
      </c>
      <c r="I9" s="3">
        <v>6170.34</v>
      </c>
      <c r="J9" s="3">
        <f>3002+190.8+5936.8</f>
        <v>9129.6</v>
      </c>
      <c r="K9" s="3">
        <f>L9+M9</f>
        <v>15299.94</v>
      </c>
      <c r="L9" s="3">
        <v>6170.34</v>
      </c>
      <c r="M9" s="3">
        <f>3002+190.8+5936.8</f>
        <v>9129.6</v>
      </c>
      <c r="N9" s="13">
        <f t="shared" si="4"/>
        <v>1.0000026143961724</v>
      </c>
      <c r="O9" s="13">
        <f t="shared" si="5"/>
        <v>1.0000026143961724</v>
      </c>
    </row>
    <row r="10" spans="1:15" s="2" customFormat="1" ht="68.25" customHeight="1" x14ac:dyDescent="0.25">
      <c r="A10" s="4" t="s">
        <v>15</v>
      </c>
      <c r="B10" s="8" t="s">
        <v>28</v>
      </c>
      <c r="C10" s="11" t="s">
        <v>375</v>
      </c>
      <c r="D10" s="11" t="s">
        <v>3</v>
      </c>
      <c r="E10" s="3">
        <f t="shared" si="1"/>
        <v>4842.8999999999996</v>
      </c>
      <c r="F10" s="3">
        <v>0</v>
      </c>
      <c r="G10" s="3">
        <v>4842.8999999999996</v>
      </c>
      <c r="H10" s="3">
        <f>J10</f>
        <v>4842.8999999999996</v>
      </c>
      <c r="I10" s="3">
        <v>0</v>
      </c>
      <c r="J10" s="3">
        <v>4842.8999999999996</v>
      </c>
      <c r="K10" s="3">
        <f t="shared" ref="K10" si="6">M10</f>
        <v>4842.8999999999996</v>
      </c>
      <c r="L10" s="3">
        <v>0</v>
      </c>
      <c r="M10" s="3">
        <v>4842.8999999999996</v>
      </c>
      <c r="N10" s="13">
        <f>H10/E10</f>
        <v>1</v>
      </c>
      <c r="O10" s="13">
        <f t="shared" si="5"/>
        <v>1</v>
      </c>
    </row>
    <row r="11" spans="1:15" s="2" customFormat="1" ht="35.25" customHeight="1" x14ac:dyDescent="0.25">
      <c r="A11" s="7"/>
      <c r="B11" s="178" t="s">
        <v>29</v>
      </c>
      <c r="C11" s="178"/>
      <c r="D11" s="178"/>
      <c r="E11" s="6">
        <f>SUM(E12:E32)</f>
        <v>24743.194</v>
      </c>
      <c r="F11" s="6">
        <f t="shared" ref="F11:M11" si="7">SUM(F12:F32)</f>
        <v>0</v>
      </c>
      <c r="G11" s="6">
        <f t="shared" si="7"/>
        <v>24743.194</v>
      </c>
      <c r="H11" s="6">
        <f t="shared" si="7"/>
        <v>24398.900000000005</v>
      </c>
      <c r="I11" s="6">
        <f t="shared" si="7"/>
        <v>0</v>
      </c>
      <c r="J11" s="6">
        <f t="shared" si="7"/>
        <v>24398.900000000005</v>
      </c>
      <c r="K11" s="6">
        <f t="shared" si="7"/>
        <v>24398.900000000005</v>
      </c>
      <c r="L11" s="6">
        <f t="shared" si="7"/>
        <v>0</v>
      </c>
      <c r="M11" s="6">
        <f t="shared" si="7"/>
        <v>24398.900000000005</v>
      </c>
      <c r="N11" s="139">
        <f>H11/E11</f>
        <v>0.98608530491253499</v>
      </c>
      <c r="O11" s="139">
        <f t="shared" si="5"/>
        <v>0.98608530491253499</v>
      </c>
    </row>
    <row r="12" spans="1:15" s="2" customFormat="1" ht="61.5" customHeight="1" x14ac:dyDescent="0.25">
      <c r="A12" s="4" t="s">
        <v>16</v>
      </c>
      <c r="B12" s="10" t="s">
        <v>30</v>
      </c>
      <c r="C12" s="11" t="s">
        <v>375</v>
      </c>
      <c r="D12" s="11" t="s">
        <v>40</v>
      </c>
      <c r="E12" s="3">
        <f t="shared" ref="E12:E18" si="8">G12</f>
        <v>3359.3</v>
      </c>
      <c r="F12" s="3">
        <v>0</v>
      </c>
      <c r="G12" s="3">
        <v>3359.3</v>
      </c>
      <c r="H12" s="3">
        <f t="shared" ref="H12:H24" si="9">J12</f>
        <v>3359.2</v>
      </c>
      <c r="I12" s="3">
        <v>0</v>
      </c>
      <c r="J12" s="3">
        <v>3359.2</v>
      </c>
      <c r="K12" s="3">
        <f t="shared" ref="K12:K24" si="10">M12</f>
        <v>3359.2</v>
      </c>
      <c r="L12" s="3">
        <v>0</v>
      </c>
      <c r="M12" s="3">
        <v>3359.2</v>
      </c>
      <c r="N12" s="13">
        <f t="shared" ref="N12" si="11">H12/E12</f>
        <v>0.99997023189354917</v>
      </c>
      <c r="O12" s="13">
        <f t="shared" si="5"/>
        <v>0.99997023189354917</v>
      </c>
    </row>
    <row r="13" spans="1:15" s="2" customFormat="1" ht="59.25" customHeight="1" x14ac:dyDescent="0.25">
      <c r="A13" s="4" t="s">
        <v>41</v>
      </c>
      <c r="B13" s="137" t="s">
        <v>31</v>
      </c>
      <c r="C13" s="23" t="s">
        <v>39</v>
      </c>
      <c r="D13" s="23" t="s">
        <v>40</v>
      </c>
      <c r="E13" s="3">
        <f t="shared" si="8"/>
        <v>633.79999999999995</v>
      </c>
      <c r="F13" s="3">
        <v>0</v>
      </c>
      <c r="G13" s="3">
        <v>633.79999999999995</v>
      </c>
      <c r="H13" s="3">
        <f>J13</f>
        <v>633.79999999999995</v>
      </c>
      <c r="I13" s="3">
        <v>0</v>
      </c>
      <c r="J13" s="3">
        <v>633.79999999999995</v>
      </c>
      <c r="K13" s="3">
        <f>M13</f>
        <v>633.79999999999995</v>
      </c>
      <c r="L13" s="3">
        <v>0</v>
      </c>
      <c r="M13" s="3">
        <v>633.79999999999995</v>
      </c>
      <c r="N13" s="13">
        <f t="shared" ref="N13:N43" si="12">H13/E13</f>
        <v>1</v>
      </c>
      <c r="O13" s="13">
        <f t="shared" ref="O13:O43" si="13">K13/E13</f>
        <v>1</v>
      </c>
    </row>
    <row r="14" spans="1:15" s="2" customFormat="1" ht="57.75" customHeight="1" x14ac:dyDescent="0.25">
      <c r="A14" s="4" t="s">
        <v>17</v>
      </c>
      <c r="B14" s="137" t="s">
        <v>32</v>
      </c>
      <c r="C14" s="23" t="s">
        <v>39</v>
      </c>
      <c r="D14" s="23" t="s">
        <v>40</v>
      </c>
      <c r="E14" s="3">
        <f t="shared" si="8"/>
        <v>1684.6</v>
      </c>
      <c r="F14" s="3">
        <v>0</v>
      </c>
      <c r="G14" s="3">
        <v>1684.6</v>
      </c>
      <c r="H14" s="3">
        <f t="shared" si="9"/>
        <v>1684.5</v>
      </c>
      <c r="I14" s="3">
        <v>0</v>
      </c>
      <c r="J14" s="3">
        <v>1684.5</v>
      </c>
      <c r="K14" s="3">
        <f t="shared" si="10"/>
        <v>1684.5</v>
      </c>
      <c r="L14" s="3">
        <v>0</v>
      </c>
      <c r="M14" s="3">
        <v>1684.5</v>
      </c>
      <c r="N14" s="13">
        <f t="shared" si="12"/>
        <v>0.99994063872729433</v>
      </c>
      <c r="O14" s="13">
        <f t="shared" si="13"/>
        <v>0.99994063872729433</v>
      </c>
    </row>
    <row r="15" spans="1:15" s="2" customFormat="1" ht="63" customHeight="1" x14ac:dyDescent="0.25">
      <c r="A15" s="4" t="s">
        <v>42</v>
      </c>
      <c r="B15" s="10" t="s">
        <v>33</v>
      </c>
      <c r="C15" s="11" t="s">
        <v>375</v>
      </c>
      <c r="D15" s="11" t="s">
        <v>40</v>
      </c>
      <c r="E15" s="3">
        <f t="shared" si="8"/>
        <v>1846.6</v>
      </c>
      <c r="F15" s="3">
        <v>0</v>
      </c>
      <c r="G15" s="3">
        <v>1846.6</v>
      </c>
      <c r="H15" s="3">
        <f t="shared" si="9"/>
        <v>1846.6</v>
      </c>
      <c r="I15" s="3">
        <v>0</v>
      </c>
      <c r="J15" s="3">
        <v>1846.6</v>
      </c>
      <c r="K15" s="3">
        <f t="shared" si="10"/>
        <v>1846.6</v>
      </c>
      <c r="L15" s="3">
        <v>0</v>
      </c>
      <c r="M15" s="3">
        <v>1846.6</v>
      </c>
      <c r="N15" s="13">
        <f t="shared" ref="N15" si="14">H15/E15</f>
        <v>1</v>
      </c>
      <c r="O15" s="13">
        <f t="shared" ref="O15" si="15">K15/E15</f>
        <v>1</v>
      </c>
    </row>
    <row r="16" spans="1:15" s="2" customFormat="1" ht="62.25" customHeight="1" x14ac:dyDescent="0.25">
      <c r="A16" s="4" t="s">
        <v>43</v>
      </c>
      <c r="B16" s="137" t="s">
        <v>34</v>
      </c>
      <c r="C16" s="23" t="s">
        <v>375</v>
      </c>
      <c r="D16" s="23" t="s">
        <v>40</v>
      </c>
      <c r="E16" s="3">
        <f t="shared" si="8"/>
        <v>3989.8</v>
      </c>
      <c r="F16" s="3">
        <v>0</v>
      </c>
      <c r="G16" s="3">
        <v>3989.8</v>
      </c>
      <c r="H16" s="3">
        <f t="shared" si="9"/>
        <v>3826.8</v>
      </c>
      <c r="I16" s="3">
        <v>0</v>
      </c>
      <c r="J16" s="3">
        <v>3826.8</v>
      </c>
      <c r="K16" s="3">
        <f t="shared" si="10"/>
        <v>3826.8</v>
      </c>
      <c r="L16" s="3">
        <v>0</v>
      </c>
      <c r="M16" s="3">
        <v>3826.8</v>
      </c>
      <c r="N16" s="13">
        <f t="shared" si="12"/>
        <v>0.95914582184570651</v>
      </c>
      <c r="O16" s="13">
        <f t="shared" si="13"/>
        <v>0.95914582184570651</v>
      </c>
    </row>
    <row r="17" spans="1:15" s="2" customFormat="1" ht="63" customHeight="1" x14ac:dyDescent="0.25">
      <c r="A17" s="4" t="s">
        <v>44</v>
      </c>
      <c r="B17" s="10" t="s">
        <v>35</v>
      </c>
      <c r="C17" s="11" t="s">
        <v>375</v>
      </c>
      <c r="D17" s="11" t="s">
        <v>3</v>
      </c>
      <c r="E17" s="3">
        <f t="shared" si="8"/>
        <v>1827.3</v>
      </c>
      <c r="F17" s="3">
        <v>0</v>
      </c>
      <c r="G17" s="3">
        <v>1827.3</v>
      </c>
      <c r="H17" s="3">
        <f>J17</f>
        <v>1818.2</v>
      </c>
      <c r="I17" s="3">
        <v>0</v>
      </c>
      <c r="J17" s="3">
        <v>1818.2</v>
      </c>
      <c r="K17" s="3">
        <f>M17</f>
        <v>1818.2</v>
      </c>
      <c r="L17" s="3">
        <v>0</v>
      </c>
      <c r="M17" s="3">
        <v>1818.2</v>
      </c>
      <c r="N17" s="13">
        <f t="shared" si="12"/>
        <v>0.99501997482624638</v>
      </c>
      <c r="O17" s="13">
        <f t="shared" si="13"/>
        <v>0.99501997482624638</v>
      </c>
    </row>
    <row r="18" spans="1:15" s="2" customFormat="1" ht="55.5" customHeight="1" x14ac:dyDescent="0.25">
      <c r="A18" s="4" t="s">
        <v>45</v>
      </c>
      <c r="B18" s="10" t="s">
        <v>36</v>
      </c>
      <c r="C18" s="11" t="s">
        <v>39</v>
      </c>
      <c r="D18" s="11" t="s">
        <v>3</v>
      </c>
      <c r="E18" s="3">
        <f t="shared" si="8"/>
        <v>2928.1</v>
      </c>
      <c r="F18" s="3">
        <v>0</v>
      </c>
      <c r="G18" s="3">
        <v>2928.1</v>
      </c>
      <c r="H18" s="3">
        <f>J18</f>
        <v>2928.1</v>
      </c>
      <c r="I18" s="3">
        <v>0</v>
      </c>
      <c r="J18" s="3">
        <f>2928.1</f>
        <v>2928.1</v>
      </c>
      <c r="K18" s="3">
        <f>M18</f>
        <v>2928.1</v>
      </c>
      <c r="L18" s="3">
        <v>0</v>
      </c>
      <c r="M18" s="3">
        <v>2928.1</v>
      </c>
      <c r="N18" s="13">
        <f t="shared" si="12"/>
        <v>1</v>
      </c>
      <c r="O18" s="13">
        <f t="shared" si="13"/>
        <v>1</v>
      </c>
    </row>
    <row r="19" spans="1:15" s="2" customFormat="1" ht="69" customHeight="1" x14ac:dyDescent="0.25">
      <c r="A19" s="4" t="s">
        <v>46</v>
      </c>
      <c r="B19" s="138" t="s">
        <v>277</v>
      </c>
      <c r="C19" s="23" t="s">
        <v>375</v>
      </c>
      <c r="D19" s="23" t="s">
        <v>40</v>
      </c>
      <c r="E19" s="3">
        <f t="shared" ref="E19" si="16">G19</f>
        <v>885.6</v>
      </c>
      <c r="F19" s="3">
        <v>0</v>
      </c>
      <c r="G19" s="3">
        <v>885.6</v>
      </c>
      <c r="H19" s="3">
        <f t="shared" si="9"/>
        <v>885.5</v>
      </c>
      <c r="I19" s="3">
        <v>0</v>
      </c>
      <c r="J19" s="3">
        <v>885.5</v>
      </c>
      <c r="K19" s="3">
        <f t="shared" si="10"/>
        <v>885.5</v>
      </c>
      <c r="L19" s="3">
        <v>0</v>
      </c>
      <c r="M19" s="3">
        <v>885.5</v>
      </c>
      <c r="N19" s="13">
        <f t="shared" si="12"/>
        <v>0.99988708220415534</v>
      </c>
      <c r="O19" s="13">
        <f t="shared" si="13"/>
        <v>0.99988708220415534</v>
      </c>
    </row>
    <row r="20" spans="1:15" s="2" customFormat="1" ht="55.5" customHeight="1" x14ac:dyDescent="0.25">
      <c r="A20" s="4" t="s">
        <v>47</v>
      </c>
      <c r="B20" s="68" t="s">
        <v>278</v>
      </c>
      <c r="C20" s="11" t="s">
        <v>375</v>
      </c>
      <c r="D20" s="11" t="s">
        <v>40</v>
      </c>
      <c r="E20" s="3">
        <f>G20</f>
        <v>127.1</v>
      </c>
      <c r="F20" s="3">
        <v>0</v>
      </c>
      <c r="G20" s="3">
        <v>127.1</v>
      </c>
      <c r="H20" s="3">
        <f t="shared" si="9"/>
        <v>127</v>
      </c>
      <c r="I20" s="3">
        <v>0</v>
      </c>
      <c r="J20" s="3">
        <v>127</v>
      </c>
      <c r="K20" s="3">
        <f>M20</f>
        <v>127</v>
      </c>
      <c r="L20" s="3">
        <v>0</v>
      </c>
      <c r="M20" s="3">
        <v>127</v>
      </c>
      <c r="N20" s="13">
        <f t="shared" si="12"/>
        <v>0.99921321793863105</v>
      </c>
      <c r="O20" s="13">
        <f t="shared" si="13"/>
        <v>0.99921321793863105</v>
      </c>
    </row>
    <row r="21" spans="1:15" s="2" customFormat="1" ht="55.5" customHeight="1" x14ac:dyDescent="0.25">
      <c r="A21" s="4" t="s">
        <v>48</v>
      </c>
      <c r="B21" s="138" t="s">
        <v>279</v>
      </c>
      <c r="C21" s="23" t="s">
        <v>375</v>
      </c>
      <c r="D21" s="23" t="s">
        <v>40</v>
      </c>
      <c r="E21" s="3">
        <f>G21</f>
        <v>706.6</v>
      </c>
      <c r="F21" s="3">
        <v>0</v>
      </c>
      <c r="G21" s="3">
        <v>706.6</v>
      </c>
      <c r="H21" s="3">
        <f t="shared" si="9"/>
        <v>706.6</v>
      </c>
      <c r="I21" s="3">
        <v>0</v>
      </c>
      <c r="J21" s="3">
        <v>706.6</v>
      </c>
      <c r="K21" s="3">
        <f t="shared" si="10"/>
        <v>706.6</v>
      </c>
      <c r="L21" s="3">
        <v>0</v>
      </c>
      <c r="M21" s="3">
        <v>706.6</v>
      </c>
      <c r="N21" s="13">
        <f t="shared" si="12"/>
        <v>1</v>
      </c>
      <c r="O21" s="13">
        <f t="shared" si="13"/>
        <v>1</v>
      </c>
    </row>
    <row r="22" spans="1:15" s="2" customFormat="1" ht="55.5" customHeight="1" x14ac:dyDescent="0.25">
      <c r="A22" s="4" t="s">
        <v>49</v>
      </c>
      <c r="B22" s="74" t="s">
        <v>358</v>
      </c>
      <c r="C22" s="11" t="s">
        <v>375</v>
      </c>
      <c r="D22" s="11" t="s">
        <v>3</v>
      </c>
      <c r="E22" s="3">
        <f t="shared" ref="E22:E24" si="17">G22</f>
        <v>154.69999999999999</v>
      </c>
      <c r="F22" s="3">
        <v>0</v>
      </c>
      <c r="G22" s="3">
        <v>154.69999999999999</v>
      </c>
      <c r="H22" s="3">
        <f t="shared" si="9"/>
        <v>99.9</v>
      </c>
      <c r="I22" s="3">
        <v>0</v>
      </c>
      <c r="J22" s="3">
        <v>99.9</v>
      </c>
      <c r="K22" s="3">
        <f t="shared" si="10"/>
        <v>99.9</v>
      </c>
      <c r="L22" s="3">
        <v>0</v>
      </c>
      <c r="M22" s="3">
        <v>99.9</v>
      </c>
      <c r="N22" s="13">
        <f t="shared" si="12"/>
        <v>0.64576599870717522</v>
      </c>
      <c r="O22" s="13">
        <f t="shared" si="13"/>
        <v>0.64576599870717522</v>
      </c>
    </row>
    <row r="23" spans="1:15" s="2" customFormat="1" ht="60" customHeight="1" x14ac:dyDescent="0.25">
      <c r="A23" s="4" t="s">
        <v>50</v>
      </c>
      <c r="B23" s="74" t="s">
        <v>359</v>
      </c>
      <c r="C23" s="11" t="s">
        <v>375</v>
      </c>
      <c r="D23" s="11" t="s">
        <v>40</v>
      </c>
      <c r="E23" s="3">
        <f t="shared" si="17"/>
        <v>2667.5</v>
      </c>
      <c r="F23" s="3">
        <v>0</v>
      </c>
      <c r="G23" s="3">
        <v>2667.5</v>
      </c>
      <c r="H23" s="3">
        <f t="shared" si="9"/>
        <v>2667.5</v>
      </c>
      <c r="I23" s="3">
        <v>0</v>
      </c>
      <c r="J23" s="3">
        <v>2667.5</v>
      </c>
      <c r="K23" s="3">
        <f t="shared" si="10"/>
        <v>2667.5</v>
      </c>
      <c r="L23" s="3">
        <v>0</v>
      </c>
      <c r="M23" s="3">
        <v>2667.5</v>
      </c>
      <c r="N23" s="13">
        <f t="shared" si="12"/>
        <v>1</v>
      </c>
      <c r="O23" s="13">
        <f t="shared" si="13"/>
        <v>1</v>
      </c>
    </row>
    <row r="24" spans="1:15" s="2" customFormat="1" ht="63.75" customHeight="1" x14ac:dyDescent="0.25">
      <c r="A24" s="4" t="s">
        <v>120</v>
      </c>
      <c r="B24" s="73" t="s">
        <v>360</v>
      </c>
      <c r="C24" s="11" t="s">
        <v>375</v>
      </c>
      <c r="D24" s="11" t="s">
        <v>3</v>
      </c>
      <c r="E24" s="3">
        <f t="shared" si="17"/>
        <v>1423.5</v>
      </c>
      <c r="F24" s="3">
        <v>0</v>
      </c>
      <c r="G24" s="3">
        <v>1423.5</v>
      </c>
      <c r="H24" s="3">
        <f t="shared" si="9"/>
        <v>1306.5</v>
      </c>
      <c r="I24" s="3">
        <v>0</v>
      </c>
      <c r="J24" s="3">
        <v>1306.5</v>
      </c>
      <c r="K24" s="3">
        <f t="shared" si="10"/>
        <v>1306.5</v>
      </c>
      <c r="L24" s="3">
        <v>0</v>
      </c>
      <c r="M24" s="3">
        <v>1306.5</v>
      </c>
      <c r="N24" s="13">
        <f t="shared" si="12"/>
        <v>0.9178082191780822</v>
      </c>
      <c r="O24" s="13">
        <f t="shared" si="13"/>
        <v>0.9178082191780822</v>
      </c>
    </row>
    <row r="25" spans="1:15" s="2" customFormat="1" ht="64.5" customHeight="1" x14ac:dyDescent="0.25">
      <c r="A25" s="4" t="s">
        <v>121</v>
      </c>
      <c r="B25" s="73" t="s">
        <v>361</v>
      </c>
      <c r="C25" s="23" t="s">
        <v>39</v>
      </c>
      <c r="D25" s="23" t="s">
        <v>40</v>
      </c>
      <c r="E25" s="3">
        <f>G25</f>
        <v>261.89400000000001</v>
      </c>
      <c r="F25" s="3">
        <v>0</v>
      </c>
      <c r="G25" s="3">
        <v>261.89400000000001</v>
      </c>
      <c r="H25" s="3">
        <f>J25</f>
        <v>261.89999999999998</v>
      </c>
      <c r="I25" s="3">
        <v>0</v>
      </c>
      <c r="J25" s="3">
        <v>261.89999999999998</v>
      </c>
      <c r="K25" s="3">
        <f>M25</f>
        <v>261.89999999999998</v>
      </c>
      <c r="L25" s="3">
        <v>0</v>
      </c>
      <c r="M25" s="3">
        <v>261.89999999999998</v>
      </c>
      <c r="N25" s="13">
        <f t="shared" si="12"/>
        <v>1.000022910032303</v>
      </c>
      <c r="O25" s="13">
        <f t="shared" si="13"/>
        <v>1.000022910032303</v>
      </c>
    </row>
    <row r="26" spans="1:15" s="2" customFormat="1" ht="83.25" customHeight="1" x14ac:dyDescent="0.25">
      <c r="A26" s="4" t="s">
        <v>122</v>
      </c>
      <c r="B26" s="73" t="s">
        <v>362</v>
      </c>
      <c r="C26" s="23" t="s">
        <v>375</v>
      </c>
      <c r="D26" s="23" t="s">
        <v>40</v>
      </c>
      <c r="E26" s="3">
        <f t="shared" ref="E26:E32" si="18">G26</f>
        <v>31.3</v>
      </c>
      <c r="F26" s="3">
        <v>0</v>
      </c>
      <c r="G26" s="3">
        <v>31.3</v>
      </c>
      <c r="H26" s="3">
        <f>J26</f>
        <v>31.3</v>
      </c>
      <c r="I26" s="3">
        <v>0</v>
      </c>
      <c r="J26" s="3">
        <v>31.3</v>
      </c>
      <c r="K26" s="3">
        <f>M26</f>
        <v>31.3</v>
      </c>
      <c r="L26" s="3">
        <v>0</v>
      </c>
      <c r="M26" s="3">
        <v>31.3</v>
      </c>
      <c r="N26" s="13">
        <f t="shared" si="12"/>
        <v>1</v>
      </c>
      <c r="O26" s="13">
        <f t="shared" si="13"/>
        <v>1</v>
      </c>
    </row>
    <row r="27" spans="1:15" s="2" customFormat="1" ht="82.5" customHeight="1" x14ac:dyDescent="0.25">
      <c r="A27" s="4" t="s">
        <v>123</v>
      </c>
      <c r="B27" s="73" t="s">
        <v>363</v>
      </c>
      <c r="C27" s="11" t="s">
        <v>375</v>
      </c>
      <c r="D27" s="11" t="s">
        <v>40</v>
      </c>
      <c r="E27" s="3">
        <f t="shared" si="18"/>
        <v>69.3</v>
      </c>
      <c r="F27" s="3">
        <v>0</v>
      </c>
      <c r="G27" s="3">
        <v>69.3</v>
      </c>
      <c r="H27" s="3">
        <f>J27</f>
        <v>69.3</v>
      </c>
      <c r="I27" s="3">
        <v>0</v>
      </c>
      <c r="J27" s="3">
        <v>69.3</v>
      </c>
      <c r="K27" s="3">
        <f>M27</f>
        <v>69.3</v>
      </c>
      <c r="L27" s="3">
        <v>0</v>
      </c>
      <c r="M27" s="3">
        <v>69.3</v>
      </c>
      <c r="N27" s="13">
        <f t="shared" si="12"/>
        <v>1</v>
      </c>
      <c r="O27" s="13">
        <f t="shared" si="13"/>
        <v>1</v>
      </c>
    </row>
    <row r="28" spans="1:15" s="2" customFormat="1" ht="66" customHeight="1" x14ac:dyDescent="0.25">
      <c r="A28" s="4" t="s">
        <v>282</v>
      </c>
      <c r="B28" s="73" t="s">
        <v>364</v>
      </c>
      <c r="C28" s="11" t="s">
        <v>375</v>
      </c>
      <c r="D28" s="11" t="s">
        <v>40</v>
      </c>
      <c r="E28" s="3">
        <f t="shared" si="18"/>
        <v>55.5</v>
      </c>
      <c r="F28" s="3">
        <v>0</v>
      </c>
      <c r="G28" s="3">
        <v>55.5</v>
      </c>
      <c r="H28" s="3">
        <f>J28</f>
        <v>55.5</v>
      </c>
      <c r="I28" s="3">
        <v>0</v>
      </c>
      <c r="J28" s="3">
        <v>55.5</v>
      </c>
      <c r="K28" s="3">
        <f>M28</f>
        <v>55.5</v>
      </c>
      <c r="L28" s="3">
        <v>0</v>
      </c>
      <c r="M28" s="3">
        <v>55.5</v>
      </c>
      <c r="N28" s="13">
        <f t="shared" si="12"/>
        <v>1</v>
      </c>
      <c r="O28" s="13">
        <f t="shared" si="13"/>
        <v>1</v>
      </c>
    </row>
    <row r="29" spans="1:15" s="2" customFormat="1" ht="55.5" customHeight="1" x14ac:dyDescent="0.25">
      <c r="A29" s="4" t="s">
        <v>283</v>
      </c>
      <c r="B29" s="73" t="s">
        <v>365</v>
      </c>
      <c r="C29" s="11" t="s">
        <v>375</v>
      </c>
      <c r="D29" s="11" t="s">
        <v>40</v>
      </c>
      <c r="E29" s="3">
        <f t="shared" si="18"/>
        <v>31.3</v>
      </c>
      <c r="F29" s="3">
        <v>0</v>
      </c>
      <c r="G29" s="3">
        <v>31.3</v>
      </c>
      <c r="H29" s="3">
        <f>J29</f>
        <v>31.3</v>
      </c>
      <c r="I29" s="3">
        <v>0</v>
      </c>
      <c r="J29" s="3">
        <v>31.3</v>
      </c>
      <c r="K29" s="3">
        <f t="shared" ref="K29:K32" si="19">M29</f>
        <v>31.3</v>
      </c>
      <c r="L29" s="3">
        <v>0</v>
      </c>
      <c r="M29" s="3">
        <v>31.3</v>
      </c>
      <c r="N29" s="13">
        <f t="shared" si="12"/>
        <v>1</v>
      </c>
      <c r="O29" s="13">
        <f t="shared" si="13"/>
        <v>1</v>
      </c>
    </row>
    <row r="30" spans="1:15" s="2" customFormat="1" ht="55.5" customHeight="1" x14ac:dyDescent="0.25">
      <c r="A30" s="4" t="s">
        <v>297</v>
      </c>
      <c r="B30" s="73" t="s">
        <v>366</v>
      </c>
      <c r="C30" s="11" t="s">
        <v>77</v>
      </c>
      <c r="D30" s="11" t="s">
        <v>40</v>
      </c>
      <c r="E30" s="3">
        <f t="shared" si="18"/>
        <v>1672</v>
      </c>
      <c r="F30" s="3">
        <v>0</v>
      </c>
      <c r="G30" s="3">
        <v>1672</v>
      </c>
      <c r="H30" s="3">
        <f t="shared" ref="H30:H32" si="20">J30</f>
        <v>1672</v>
      </c>
      <c r="I30" s="3">
        <v>0</v>
      </c>
      <c r="J30" s="3">
        <v>1672</v>
      </c>
      <c r="K30" s="3">
        <f t="shared" si="19"/>
        <v>1672</v>
      </c>
      <c r="L30" s="3">
        <v>0</v>
      </c>
      <c r="M30" s="3">
        <v>1672</v>
      </c>
      <c r="N30" s="13">
        <f t="shared" si="12"/>
        <v>1</v>
      </c>
      <c r="O30" s="13">
        <f t="shared" si="13"/>
        <v>1</v>
      </c>
    </row>
    <row r="31" spans="1:15" s="2" customFormat="1" ht="55.5" customHeight="1" x14ac:dyDescent="0.25">
      <c r="A31" s="4" t="s">
        <v>317</v>
      </c>
      <c r="B31" s="73" t="s">
        <v>433</v>
      </c>
      <c r="C31" s="11" t="s">
        <v>77</v>
      </c>
      <c r="D31" s="11" t="s">
        <v>40</v>
      </c>
      <c r="E31" s="3">
        <f t="shared" si="18"/>
        <v>331.9</v>
      </c>
      <c r="F31" s="3">
        <v>0</v>
      </c>
      <c r="G31" s="3">
        <v>331.9</v>
      </c>
      <c r="H31" s="3">
        <f t="shared" si="20"/>
        <v>331.9</v>
      </c>
      <c r="I31" s="3">
        <v>0</v>
      </c>
      <c r="J31" s="3">
        <v>331.9</v>
      </c>
      <c r="K31" s="3">
        <f t="shared" si="19"/>
        <v>331.9</v>
      </c>
      <c r="L31" s="3">
        <v>0</v>
      </c>
      <c r="M31" s="3">
        <v>331.9</v>
      </c>
      <c r="N31" s="13">
        <f t="shared" si="12"/>
        <v>1</v>
      </c>
      <c r="O31" s="13">
        <f t="shared" si="13"/>
        <v>1</v>
      </c>
    </row>
    <row r="32" spans="1:15" s="2" customFormat="1" ht="71.25" customHeight="1" x14ac:dyDescent="0.25">
      <c r="A32" s="4" t="s">
        <v>318</v>
      </c>
      <c r="B32" s="73" t="s">
        <v>432</v>
      </c>
      <c r="C32" s="11" t="s">
        <v>77</v>
      </c>
      <c r="D32" s="11" t="s">
        <v>40</v>
      </c>
      <c r="E32" s="3">
        <f t="shared" si="18"/>
        <v>55.5</v>
      </c>
      <c r="F32" s="3">
        <v>0</v>
      </c>
      <c r="G32" s="3">
        <v>55.5</v>
      </c>
      <c r="H32" s="3">
        <f t="shared" si="20"/>
        <v>55.5</v>
      </c>
      <c r="I32" s="3">
        <v>0</v>
      </c>
      <c r="J32" s="3">
        <v>55.5</v>
      </c>
      <c r="K32" s="3">
        <f t="shared" si="19"/>
        <v>55.5</v>
      </c>
      <c r="L32" s="3">
        <v>0</v>
      </c>
      <c r="M32" s="3">
        <v>55.5</v>
      </c>
      <c r="N32" s="13">
        <f t="shared" si="12"/>
        <v>1</v>
      </c>
      <c r="O32" s="13">
        <f t="shared" si="13"/>
        <v>1</v>
      </c>
    </row>
    <row r="33" spans="1:15" s="2" customFormat="1" ht="35.25" customHeight="1" x14ac:dyDescent="0.25">
      <c r="A33" s="4"/>
      <c r="B33" s="178" t="s">
        <v>37</v>
      </c>
      <c r="C33" s="178"/>
      <c r="D33" s="178"/>
      <c r="E33" s="6">
        <f t="shared" ref="E33:M33" si="21">SUM(E34:E35)</f>
        <v>729.1</v>
      </c>
      <c r="F33" s="6">
        <f t="shared" si="21"/>
        <v>0</v>
      </c>
      <c r="G33" s="6">
        <f t="shared" si="21"/>
        <v>729.1</v>
      </c>
      <c r="H33" s="6">
        <f t="shared" si="21"/>
        <v>729</v>
      </c>
      <c r="I33" s="6">
        <f t="shared" si="21"/>
        <v>0</v>
      </c>
      <c r="J33" s="6">
        <f t="shared" si="21"/>
        <v>729</v>
      </c>
      <c r="K33" s="6">
        <f t="shared" si="21"/>
        <v>729</v>
      </c>
      <c r="L33" s="6">
        <f t="shared" si="21"/>
        <v>0</v>
      </c>
      <c r="M33" s="6">
        <f t="shared" si="21"/>
        <v>729</v>
      </c>
      <c r="N33" s="139">
        <f t="shared" si="12"/>
        <v>0.99986284460293506</v>
      </c>
      <c r="O33" s="139">
        <f t="shared" si="13"/>
        <v>0.99986284460293506</v>
      </c>
    </row>
    <row r="34" spans="1:15" s="2" customFormat="1" ht="51.75" customHeight="1" x14ac:dyDescent="0.25">
      <c r="A34" s="4" t="s">
        <v>319</v>
      </c>
      <c r="B34" s="10" t="s">
        <v>38</v>
      </c>
      <c r="C34" s="11" t="s">
        <v>375</v>
      </c>
      <c r="D34" s="11" t="s">
        <v>40</v>
      </c>
      <c r="E34" s="3">
        <f t="shared" ref="E34" si="22">G34</f>
        <v>562.70000000000005</v>
      </c>
      <c r="F34" s="3">
        <v>0</v>
      </c>
      <c r="G34" s="3">
        <v>562.70000000000005</v>
      </c>
      <c r="H34" s="3">
        <f t="shared" ref="H34" si="23">J34</f>
        <v>562.70000000000005</v>
      </c>
      <c r="I34" s="3">
        <v>0</v>
      </c>
      <c r="J34" s="3">
        <v>562.70000000000005</v>
      </c>
      <c r="K34" s="3">
        <f t="shared" ref="K34" si="24">M34</f>
        <v>562.70000000000005</v>
      </c>
      <c r="L34" s="3">
        <v>0</v>
      </c>
      <c r="M34" s="3">
        <v>562.70000000000005</v>
      </c>
      <c r="N34" s="13">
        <f t="shared" si="12"/>
        <v>1</v>
      </c>
      <c r="O34" s="13">
        <f t="shared" si="13"/>
        <v>1</v>
      </c>
    </row>
    <row r="35" spans="1:15" s="2" customFormat="1" ht="51.75" customHeight="1" x14ac:dyDescent="0.25">
      <c r="A35" s="4" t="s">
        <v>369</v>
      </c>
      <c r="B35" s="68" t="s">
        <v>367</v>
      </c>
      <c r="C35" s="11" t="s">
        <v>375</v>
      </c>
      <c r="D35" s="11" t="s">
        <v>40</v>
      </c>
      <c r="E35" s="3">
        <f t="shared" ref="E35" si="25">G35</f>
        <v>166.4</v>
      </c>
      <c r="F35" s="3">
        <v>0</v>
      </c>
      <c r="G35" s="3">
        <v>166.4</v>
      </c>
      <c r="H35" s="3">
        <f t="shared" ref="H35" si="26">J35</f>
        <v>166.3</v>
      </c>
      <c r="I35" s="3">
        <v>0</v>
      </c>
      <c r="J35" s="3">
        <v>166.3</v>
      </c>
      <c r="K35" s="3">
        <f t="shared" ref="K35" si="27">M35</f>
        <v>166.3</v>
      </c>
      <c r="L35" s="3">
        <v>0</v>
      </c>
      <c r="M35" s="3">
        <v>166.3</v>
      </c>
      <c r="N35" s="13">
        <f t="shared" si="12"/>
        <v>0.99939903846153855</v>
      </c>
      <c r="O35" s="13">
        <f t="shared" si="13"/>
        <v>0.99939903846153855</v>
      </c>
    </row>
    <row r="36" spans="1:15" s="2" customFormat="1" ht="45" customHeight="1" x14ac:dyDescent="0.25">
      <c r="A36" s="4"/>
      <c r="B36" s="179" t="s">
        <v>280</v>
      </c>
      <c r="C36" s="180"/>
      <c r="D36" s="181"/>
      <c r="E36" s="6">
        <f t="shared" ref="E36:M36" si="28">E37</f>
        <v>139.1</v>
      </c>
      <c r="F36" s="6">
        <v>0</v>
      </c>
      <c r="G36" s="6">
        <f t="shared" si="28"/>
        <v>139.1</v>
      </c>
      <c r="H36" s="6">
        <f t="shared" si="28"/>
        <v>139.1</v>
      </c>
      <c r="I36" s="6">
        <v>0</v>
      </c>
      <c r="J36" s="6">
        <f t="shared" si="28"/>
        <v>139.1</v>
      </c>
      <c r="K36" s="6">
        <f t="shared" si="28"/>
        <v>139.1</v>
      </c>
      <c r="L36" s="6">
        <v>0</v>
      </c>
      <c r="M36" s="6">
        <f t="shared" si="28"/>
        <v>139.1</v>
      </c>
      <c r="N36" s="139">
        <f t="shared" si="12"/>
        <v>1</v>
      </c>
      <c r="O36" s="139">
        <f t="shared" si="13"/>
        <v>1</v>
      </c>
    </row>
    <row r="37" spans="1:15" s="2" customFormat="1" ht="108" customHeight="1" x14ac:dyDescent="0.25">
      <c r="A37" s="4" t="s">
        <v>370</v>
      </c>
      <c r="B37" s="136" t="s">
        <v>281</v>
      </c>
      <c r="C37" s="23" t="s">
        <v>375</v>
      </c>
      <c r="D37" s="23" t="s">
        <v>40</v>
      </c>
      <c r="E37" s="3">
        <f t="shared" ref="E37" si="29">G37</f>
        <v>139.1</v>
      </c>
      <c r="F37" s="3">
        <v>0</v>
      </c>
      <c r="G37" s="3">
        <v>139.1</v>
      </c>
      <c r="H37" s="3">
        <f t="shared" ref="H37" si="30">J37</f>
        <v>139.1</v>
      </c>
      <c r="I37" s="3">
        <v>0</v>
      </c>
      <c r="J37" s="3">
        <v>139.1</v>
      </c>
      <c r="K37" s="3">
        <f t="shared" ref="K37" si="31">M37</f>
        <v>139.1</v>
      </c>
      <c r="L37" s="3">
        <v>0</v>
      </c>
      <c r="M37" s="3">
        <v>139.1</v>
      </c>
      <c r="N37" s="13">
        <f t="shared" si="12"/>
        <v>1</v>
      </c>
      <c r="O37" s="13">
        <f t="shared" si="13"/>
        <v>1</v>
      </c>
    </row>
    <row r="38" spans="1:15" s="2" customFormat="1" ht="36" customHeight="1" x14ac:dyDescent="0.25">
      <c r="A38" s="4"/>
      <c r="B38" s="180" t="s">
        <v>368</v>
      </c>
      <c r="C38" s="180"/>
      <c r="D38" s="181"/>
      <c r="E38" s="6">
        <f>SUM(E39:E40)</f>
        <v>484.6</v>
      </c>
      <c r="F38" s="6">
        <f t="shared" ref="F38:M38" si="32">SUM(F39:F40)</f>
        <v>0</v>
      </c>
      <c r="G38" s="6">
        <f t="shared" si="32"/>
        <v>484.6</v>
      </c>
      <c r="H38" s="6">
        <f t="shared" si="32"/>
        <v>0</v>
      </c>
      <c r="I38" s="6">
        <f t="shared" si="32"/>
        <v>0</v>
      </c>
      <c r="J38" s="6">
        <f t="shared" si="32"/>
        <v>0</v>
      </c>
      <c r="K38" s="6">
        <f t="shared" si="32"/>
        <v>0</v>
      </c>
      <c r="L38" s="6">
        <f t="shared" si="32"/>
        <v>0</v>
      </c>
      <c r="M38" s="6">
        <f t="shared" si="32"/>
        <v>0</v>
      </c>
      <c r="N38" s="139">
        <f t="shared" si="12"/>
        <v>0</v>
      </c>
      <c r="O38" s="139">
        <f t="shared" si="13"/>
        <v>0</v>
      </c>
    </row>
    <row r="39" spans="1:15" s="2" customFormat="1" ht="33" x14ac:dyDescent="0.25">
      <c r="A39" s="4" t="s">
        <v>371</v>
      </c>
      <c r="B39" s="27" t="s">
        <v>103</v>
      </c>
      <c r="C39" s="11" t="s">
        <v>77</v>
      </c>
      <c r="D39" s="11" t="s">
        <v>40</v>
      </c>
      <c r="E39" s="3">
        <f>G39</f>
        <v>346.1</v>
      </c>
      <c r="F39" s="3">
        <v>0</v>
      </c>
      <c r="G39" s="3">
        <v>346.1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13">
        <f t="shared" si="12"/>
        <v>0</v>
      </c>
      <c r="O39" s="13">
        <f t="shared" si="13"/>
        <v>0</v>
      </c>
    </row>
    <row r="40" spans="1:15" s="2" customFormat="1" ht="33" x14ac:dyDescent="0.25">
      <c r="A40" s="4" t="s">
        <v>372</v>
      </c>
      <c r="B40" s="27" t="s">
        <v>80</v>
      </c>
      <c r="C40" s="11" t="s">
        <v>77</v>
      </c>
      <c r="D40" s="11" t="s">
        <v>40</v>
      </c>
      <c r="E40" s="3">
        <f>G40</f>
        <v>138.5</v>
      </c>
      <c r="F40" s="3">
        <v>0</v>
      </c>
      <c r="G40" s="3">
        <v>138.5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13">
        <f t="shared" si="12"/>
        <v>0</v>
      </c>
      <c r="O40" s="13">
        <f t="shared" si="13"/>
        <v>0</v>
      </c>
    </row>
    <row r="41" spans="1:15" s="2" customFormat="1" ht="33.75" customHeight="1" x14ac:dyDescent="0.25">
      <c r="A41" s="4"/>
      <c r="B41" s="182" t="s">
        <v>434</v>
      </c>
      <c r="C41" s="183"/>
      <c r="D41" s="184"/>
      <c r="E41" s="6">
        <f>SUM(E42:E43)</f>
        <v>248.7</v>
      </c>
      <c r="F41" s="6">
        <f t="shared" ref="F41:M41" si="33">SUM(F42:F43)</f>
        <v>0</v>
      </c>
      <c r="G41" s="6">
        <f t="shared" si="33"/>
        <v>248.7</v>
      </c>
      <c r="H41" s="6">
        <f t="shared" si="33"/>
        <v>248.7</v>
      </c>
      <c r="I41" s="6">
        <f t="shared" si="33"/>
        <v>0</v>
      </c>
      <c r="J41" s="6">
        <f t="shared" si="33"/>
        <v>248.7</v>
      </c>
      <c r="K41" s="6">
        <f t="shared" si="33"/>
        <v>248.7</v>
      </c>
      <c r="L41" s="6">
        <f t="shared" si="33"/>
        <v>0</v>
      </c>
      <c r="M41" s="6">
        <f t="shared" si="33"/>
        <v>248.7</v>
      </c>
      <c r="N41" s="139">
        <f t="shared" si="12"/>
        <v>1</v>
      </c>
      <c r="O41" s="139">
        <f t="shared" si="13"/>
        <v>1</v>
      </c>
    </row>
    <row r="42" spans="1:15" s="2" customFormat="1" ht="63" x14ac:dyDescent="0.25">
      <c r="A42" s="4" t="s">
        <v>373</v>
      </c>
      <c r="B42" s="129" t="s">
        <v>435</v>
      </c>
      <c r="C42" s="130" t="s">
        <v>77</v>
      </c>
      <c r="D42" s="11" t="s">
        <v>40</v>
      </c>
      <c r="E42" s="3">
        <f>G42</f>
        <v>60.2</v>
      </c>
      <c r="F42" s="3">
        <v>0</v>
      </c>
      <c r="G42" s="3">
        <v>60.2</v>
      </c>
      <c r="H42" s="3">
        <f>J42</f>
        <v>60.2</v>
      </c>
      <c r="I42" s="3">
        <v>0</v>
      </c>
      <c r="J42" s="3">
        <v>60.2</v>
      </c>
      <c r="K42" s="3">
        <f>M42</f>
        <v>60.2</v>
      </c>
      <c r="L42" s="3">
        <v>0</v>
      </c>
      <c r="M42" s="3">
        <v>60.2</v>
      </c>
      <c r="N42" s="13">
        <f t="shared" si="12"/>
        <v>1</v>
      </c>
      <c r="O42" s="13">
        <f t="shared" si="13"/>
        <v>1</v>
      </c>
    </row>
    <row r="43" spans="1:15" s="2" customFormat="1" ht="47.25" x14ac:dyDescent="0.25">
      <c r="A43" s="4" t="s">
        <v>374</v>
      </c>
      <c r="B43" s="129" t="s">
        <v>436</v>
      </c>
      <c r="C43" s="130" t="s">
        <v>77</v>
      </c>
      <c r="D43" s="11" t="s">
        <v>40</v>
      </c>
      <c r="E43" s="3">
        <f>G43</f>
        <v>188.5</v>
      </c>
      <c r="F43" s="3">
        <v>0</v>
      </c>
      <c r="G43" s="3">
        <v>188.5</v>
      </c>
      <c r="H43" s="3">
        <f>J43</f>
        <v>188.5</v>
      </c>
      <c r="I43" s="3">
        <v>0</v>
      </c>
      <c r="J43" s="3">
        <v>188.5</v>
      </c>
      <c r="K43" s="3">
        <f>M43</f>
        <v>188.5</v>
      </c>
      <c r="L43" s="3">
        <v>0</v>
      </c>
      <c r="M43" s="3">
        <v>188.5</v>
      </c>
      <c r="N43" s="13">
        <f t="shared" si="12"/>
        <v>1</v>
      </c>
      <c r="O43" s="13">
        <f t="shared" si="13"/>
        <v>1</v>
      </c>
    </row>
    <row r="44" spans="1:15" s="2" customFormat="1" x14ac:dyDescent="0.25">
      <c r="A44" s="23"/>
      <c r="B44" s="5" t="s">
        <v>2</v>
      </c>
      <c r="C44" s="5"/>
      <c r="D44" s="3"/>
      <c r="E44" s="6">
        <f>E6+E11+E33+E36+E38+E41</f>
        <v>57541.250269999997</v>
      </c>
      <c r="F44" s="6">
        <f t="shared" ref="F44:M44" si="34">F6+F11+F33+F36+F38+F41</f>
        <v>6170.3</v>
      </c>
      <c r="G44" s="6">
        <f t="shared" si="34"/>
        <v>51370.950269999994</v>
      </c>
      <c r="H44" s="6">
        <f t="shared" si="34"/>
        <v>56649.340000000004</v>
      </c>
      <c r="I44" s="6">
        <f t="shared" si="34"/>
        <v>6170.34</v>
      </c>
      <c r="J44" s="6">
        <f t="shared" si="34"/>
        <v>50479.000000000007</v>
      </c>
      <c r="K44" s="6">
        <f t="shared" si="34"/>
        <v>56649.340000000004</v>
      </c>
      <c r="L44" s="6">
        <f t="shared" si="34"/>
        <v>6170.34</v>
      </c>
      <c r="M44" s="6">
        <f t="shared" si="34"/>
        <v>50479.000000000007</v>
      </c>
      <c r="N44" s="139">
        <f t="shared" ref="N44" si="35">H44/E44</f>
        <v>0.98449963694193476</v>
      </c>
      <c r="O44" s="139">
        <f t="shared" ref="O44" si="36">K44/E44</f>
        <v>0.98449963694193476</v>
      </c>
    </row>
    <row r="46" spans="1:15" x14ac:dyDescent="0.25">
      <c r="H46" s="154"/>
    </row>
  </sheetData>
  <mergeCells count="17">
    <mergeCell ref="A1:O1"/>
    <mergeCell ref="A3:A4"/>
    <mergeCell ref="A2:O2"/>
    <mergeCell ref="H3:J3"/>
    <mergeCell ref="K3:M3"/>
    <mergeCell ref="N3:N4"/>
    <mergeCell ref="O3:O4"/>
    <mergeCell ref="E3:G3"/>
    <mergeCell ref="B3:B4"/>
    <mergeCell ref="C3:C4"/>
    <mergeCell ref="D3:D4"/>
    <mergeCell ref="B33:D33"/>
    <mergeCell ref="B11:D11"/>
    <mergeCell ref="B6:D6"/>
    <mergeCell ref="B36:D36"/>
    <mergeCell ref="B41:D41"/>
    <mergeCell ref="B38:D38"/>
  </mergeCells>
  <pageMargins left="0.39370078740157483" right="0.39370078740157483" top="0.39370078740157483" bottom="0.39370078740157483" header="0.31496062992125984" footer="0.31496062992125984"/>
  <pageSetup paperSize="9" scale="47" fitToHeight="0" orientation="landscape" r:id="rId1"/>
  <rowBreaks count="1" manualBreakCount="1">
    <brk id="22" max="1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34"/>
  <sheetViews>
    <sheetView view="pageBreakPreview" topLeftCell="A7" zoomScale="90" zoomScaleNormal="100" zoomScaleSheetLayoutView="90" workbookViewId="0">
      <selection activeCell="F16" sqref="F16"/>
    </sheetView>
  </sheetViews>
  <sheetFormatPr defaultRowHeight="15.75" x14ac:dyDescent="0.25"/>
  <cols>
    <col min="1" max="1" width="6.5703125" style="31" customWidth="1"/>
    <col min="2" max="2" width="37.28515625" style="31" customWidth="1"/>
    <col min="3" max="3" width="14" style="31" hidden="1" customWidth="1"/>
    <col min="4" max="4" width="11.42578125" style="31" hidden="1" customWidth="1"/>
    <col min="5" max="5" width="28.28515625" style="31" customWidth="1"/>
    <col min="6" max="6" width="22.140625" style="31" customWidth="1"/>
    <col min="7" max="7" width="25.5703125" style="31" customWidth="1"/>
    <col min="8" max="8" width="19.5703125" style="31" customWidth="1"/>
    <col min="9" max="9" width="16" style="31" customWidth="1"/>
    <col min="10" max="10" width="14.7109375" style="31" customWidth="1"/>
    <col min="11" max="12" width="14.140625" style="31" customWidth="1"/>
    <col min="13" max="13" width="15.140625" style="31" customWidth="1"/>
    <col min="14" max="255" width="9.140625" style="31"/>
    <col min="256" max="256" width="6.5703125" style="31" customWidth="1"/>
    <col min="257" max="257" width="35.28515625" style="31" customWidth="1"/>
    <col min="258" max="258" width="14" style="31" customWidth="1"/>
    <col min="259" max="259" width="11.42578125" style="31" customWidth="1"/>
    <col min="260" max="260" width="21.7109375" style="31" customWidth="1"/>
    <col min="261" max="261" width="13.7109375" style="31" customWidth="1"/>
    <col min="262" max="262" width="14.85546875" style="31" customWidth="1"/>
    <col min="263" max="263" width="19.5703125" style="31" customWidth="1"/>
    <col min="264" max="264" width="13.7109375" style="31" customWidth="1"/>
    <col min="265" max="265" width="14.7109375" style="31" customWidth="1"/>
    <col min="266" max="267" width="14.140625" style="31" customWidth="1"/>
    <col min="268" max="268" width="15.140625" style="31" customWidth="1"/>
    <col min="269" max="269" width="21.5703125" style="31" customWidth="1"/>
    <col min="270" max="511" width="9.140625" style="31"/>
    <col min="512" max="512" width="6.5703125" style="31" customWidth="1"/>
    <col min="513" max="513" width="35.28515625" style="31" customWidth="1"/>
    <col min="514" max="514" width="14" style="31" customWidth="1"/>
    <col min="515" max="515" width="11.42578125" style="31" customWidth="1"/>
    <col min="516" max="516" width="21.7109375" style="31" customWidth="1"/>
    <col min="517" max="517" width="13.7109375" style="31" customWidth="1"/>
    <col min="518" max="518" width="14.85546875" style="31" customWidth="1"/>
    <col min="519" max="519" width="19.5703125" style="31" customWidth="1"/>
    <col min="520" max="520" width="13.7109375" style="31" customWidth="1"/>
    <col min="521" max="521" width="14.7109375" style="31" customWidth="1"/>
    <col min="522" max="523" width="14.140625" style="31" customWidth="1"/>
    <col min="524" max="524" width="15.140625" style="31" customWidth="1"/>
    <col min="525" max="525" width="21.5703125" style="31" customWidth="1"/>
    <col min="526" max="767" width="9.140625" style="31"/>
    <col min="768" max="768" width="6.5703125" style="31" customWidth="1"/>
    <col min="769" max="769" width="35.28515625" style="31" customWidth="1"/>
    <col min="770" max="770" width="14" style="31" customWidth="1"/>
    <col min="771" max="771" width="11.42578125" style="31" customWidth="1"/>
    <col min="772" max="772" width="21.7109375" style="31" customWidth="1"/>
    <col min="773" max="773" width="13.7109375" style="31" customWidth="1"/>
    <col min="774" max="774" width="14.85546875" style="31" customWidth="1"/>
    <col min="775" max="775" width="19.5703125" style="31" customWidth="1"/>
    <col min="776" max="776" width="13.7109375" style="31" customWidth="1"/>
    <col min="777" max="777" width="14.7109375" style="31" customWidth="1"/>
    <col min="778" max="779" width="14.140625" style="31" customWidth="1"/>
    <col min="780" max="780" width="15.140625" style="31" customWidth="1"/>
    <col min="781" max="781" width="21.5703125" style="31" customWidth="1"/>
    <col min="782" max="1023" width="9.140625" style="31"/>
    <col min="1024" max="1024" width="6.5703125" style="31" customWidth="1"/>
    <col min="1025" max="1025" width="35.28515625" style="31" customWidth="1"/>
    <col min="1026" max="1026" width="14" style="31" customWidth="1"/>
    <col min="1027" max="1027" width="11.42578125" style="31" customWidth="1"/>
    <col min="1028" max="1028" width="21.7109375" style="31" customWidth="1"/>
    <col min="1029" max="1029" width="13.7109375" style="31" customWidth="1"/>
    <col min="1030" max="1030" width="14.85546875" style="31" customWidth="1"/>
    <col min="1031" max="1031" width="19.5703125" style="31" customWidth="1"/>
    <col min="1032" max="1032" width="13.7109375" style="31" customWidth="1"/>
    <col min="1033" max="1033" width="14.7109375" style="31" customWidth="1"/>
    <col min="1034" max="1035" width="14.140625" style="31" customWidth="1"/>
    <col min="1036" max="1036" width="15.140625" style="31" customWidth="1"/>
    <col min="1037" max="1037" width="21.5703125" style="31" customWidth="1"/>
    <col min="1038" max="1279" width="9.140625" style="31"/>
    <col min="1280" max="1280" width="6.5703125" style="31" customWidth="1"/>
    <col min="1281" max="1281" width="35.28515625" style="31" customWidth="1"/>
    <col min="1282" max="1282" width="14" style="31" customWidth="1"/>
    <col min="1283" max="1283" width="11.42578125" style="31" customWidth="1"/>
    <col min="1284" max="1284" width="21.7109375" style="31" customWidth="1"/>
    <col min="1285" max="1285" width="13.7109375" style="31" customWidth="1"/>
    <col min="1286" max="1286" width="14.85546875" style="31" customWidth="1"/>
    <col min="1287" max="1287" width="19.5703125" style="31" customWidth="1"/>
    <col min="1288" max="1288" width="13.7109375" style="31" customWidth="1"/>
    <col min="1289" max="1289" width="14.7109375" style="31" customWidth="1"/>
    <col min="1290" max="1291" width="14.140625" style="31" customWidth="1"/>
    <col min="1292" max="1292" width="15.140625" style="31" customWidth="1"/>
    <col min="1293" max="1293" width="21.5703125" style="31" customWidth="1"/>
    <col min="1294" max="1535" width="9.140625" style="31"/>
    <col min="1536" max="1536" width="6.5703125" style="31" customWidth="1"/>
    <col min="1537" max="1537" width="35.28515625" style="31" customWidth="1"/>
    <col min="1538" max="1538" width="14" style="31" customWidth="1"/>
    <col min="1539" max="1539" width="11.42578125" style="31" customWidth="1"/>
    <col min="1540" max="1540" width="21.7109375" style="31" customWidth="1"/>
    <col min="1541" max="1541" width="13.7109375" style="31" customWidth="1"/>
    <col min="1542" max="1542" width="14.85546875" style="31" customWidth="1"/>
    <col min="1543" max="1543" width="19.5703125" style="31" customWidth="1"/>
    <col min="1544" max="1544" width="13.7109375" style="31" customWidth="1"/>
    <col min="1545" max="1545" width="14.7109375" style="31" customWidth="1"/>
    <col min="1546" max="1547" width="14.140625" style="31" customWidth="1"/>
    <col min="1548" max="1548" width="15.140625" style="31" customWidth="1"/>
    <col min="1549" max="1549" width="21.5703125" style="31" customWidth="1"/>
    <col min="1550" max="1791" width="9.140625" style="31"/>
    <col min="1792" max="1792" width="6.5703125" style="31" customWidth="1"/>
    <col min="1793" max="1793" width="35.28515625" style="31" customWidth="1"/>
    <col min="1794" max="1794" width="14" style="31" customWidth="1"/>
    <col min="1795" max="1795" width="11.42578125" style="31" customWidth="1"/>
    <col min="1796" max="1796" width="21.7109375" style="31" customWidth="1"/>
    <col min="1797" max="1797" width="13.7109375" style="31" customWidth="1"/>
    <col min="1798" max="1798" width="14.85546875" style="31" customWidth="1"/>
    <col min="1799" max="1799" width="19.5703125" style="31" customWidth="1"/>
    <col min="1800" max="1800" width="13.7109375" style="31" customWidth="1"/>
    <col min="1801" max="1801" width="14.7109375" style="31" customWidth="1"/>
    <col min="1802" max="1803" width="14.140625" style="31" customWidth="1"/>
    <col min="1804" max="1804" width="15.140625" style="31" customWidth="1"/>
    <col min="1805" max="1805" width="21.5703125" style="31" customWidth="1"/>
    <col min="1806" max="2047" width="9.140625" style="31"/>
    <col min="2048" max="2048" width="6.5703125" style="31" customWidth="1"/>
    <col min="2049" max="2049" width="35.28515625" style="31" customWidth="1"/>
    <col min="2050" max="2050" width="14" style="31" customWidth="1"/>
    <col min="2051" max="2051" width="11.42578125" style="31" customWidth="1"/>
    <col min="2052" max="2052" width="21.7109375" style="31" customWidth="1"/>
    <col min="2053" max="2053" width="13.7109375" style="31" customWidth="1"/>
    <col min="2054" max="2054" width="14.85546875" style="31" customWidth="1"/>
    <col min="2055" max="2055" width="19.5703125" style="31" customWidth="1"/>
    <col min="2056" max="2056" width="13.7109375" style="31" customWidth="1"/>
    <col min="2057" max="2057" width="14.7109375" style="31" customWidth="1"/>
    <col min="2058" max="2059" width="14.140625" style="31" customWidth="1"/>
    <col min="2060" max="2060" width="15.140625" style="31" customWidth="1"/>
    <col min="2061" max="2061" width="21.5703125" style="31" customWidth="1"/>
    <col min="2062" max="2303" width="9.140625" style="31"/>
    <col min="2304" max="2304" width="6.5703125" style="31" customWidth="1"/>
    <col min="2305" max="2305" width="35.28515625" style="31" customWidth="1"/>
    <col min="2306" max="2306" width="14" style="31" customWidth="1"/>
    <col min="2307" max="2307" width="11.42578125" style="31" customWidth="1"/>
    <col min="2308" max="2308" width="21.7109375" style="31" customWidth="1"/>
    <col min="2309" max="2309" width="13.7109375" style="31" customWidth="1"/>
    <col min="2310" max="2310" width="14.85546875" style="31" customWidth="1"/>
    <col min="2311" max="2311" width="19.5703125" style="31" customWidth="1"/>
    <col min="2312" max="2312" width="13.7109375" style="31" customWidth="1"/>
    <col min="2313" max="2313" width="14.7109375" style="31" customWidth="1"/>
    <col min="2314" max="2315" width="14.140625" style="31" customWidth="1"/>
    <col min="2316" max="2316" width="15.140625" style="31" customWidth="1"/>
    <col min="2317" max="2317" width="21.5703125" style="31" customWidth="1"/>
    <col min="2318" max="2559" width="9.140625" style="31"/>
    <col min="2560" max="2560" width="6.5703125" style="31" customWidth="1"/>
    <col min="2561" max="2561" width="35.28515625" style="31" customWidth="1"/>
    <col min="2562" max="2562" width="14" style="31" customWidth="1"/>
    <col min="2563" max="2563" width="11.42578125" style="31" customWidth="1"/>
    <col min="2564" max="2564" width="21.7109375" style="31" customWidth="1"/>
    <col min="2565" max="2565" width="13.7109375" style="31" customWidth="1"/>
    <col min="2566" max="2566" width="14.85546875" style="31" customWidth="1"/>
    <col min="2567" max="2567" width="19.5703125" style="31" customWidth="1"/>
    <col min="2568" max="2568" width="13.7109375" style="31" customWidth="1"/>
    <col min="2569" max="2569" width="14.7109375" style="31" customWidth="1"/>
    <col min="2570" max="2571" width="14.140625" style="31" customWidth="1"/>
    <col min="2572" max="2572" width="15.140625" style="31" customWidth="1"/>
    <col min="2573" max="2573" width="21.5703125" style="31" customWidth="1"/>
    <col min="2574" max="2815" width="9.140625" style="31"/>
    <col min="2816" max="2816" width="6.5703125" style="31" customWidth="1"/>
    <col min="2817" max="2817" width="35.28515625" style="31" customWidth="1"/>
    <col min="2818" max="2818" width="14" style="31" customWidth="1"/>
    <col min="2819" max="2819" width="11.42578125" style="31" customWidth="1"/>
    <col min="2820" max="2820" width="21.7109375" style="31" customWidth="1"/>
    <col min="2821" max="2821" width="13.7109375" style="31" customWidth="1"/>
    <col min="2822" max="2822" width="14.85546875" style="31" customWidth="1"/>
    <col min="2823" max="2823" width="19.5703125" style="31" customWidth="1"/>
    <col min="2824" max="2824" width="13.7109375" style="31" customWidth="1"/>
    <col min="2825" max="2825" width="14.7109375" style="31" customWidth="1"/>
    <col min="2826" max="2827" width="14.140625" style="31" customWidth="1"/>
    <col min="2828" max="2828" width="15.140625" style="31" customWidth="1"/>
    <col min="2829" max="2829" width="21.5703125" style="31" customWidth="1"/>
    <col min="2830" max="3071" width="9.140625" style="31"/>
    <col min="3072" max="3072" width="6.5703125" style="31" customWidth="1"/>
    <col min="3073" max="3073" width="35.28515625" style="31" customWidth="1"/>
    <col min="3074" max="3074" width="14" style="31" customWidth="1"/>
    <col min="3075" max="3075" width="11.42578125" style="31" customWidth="1"/>
    <col min="3076" max="3076" width="21.7109375" style="31" customWidth="1"/>
    <col min="3077" max="3077" width="13.7109375" style="31" customWidth="1"/>
    <col min="3078" max="3078" width="14.85546875" style="31" customWidth="1"/>
    <col min="3079" max="3079" width="19.5703125" style="31" customWidth="1"/>
    <col min="3080" max="3080" width="13.7109375" style="31" customWidth="1"/>
    <col min="3081" max="3081" width="14.7109375" style="31" customWidth="1"/>
    <col min="3082" max="3083" width="14.140625" style="31" customWidth="1"/>
    <col min="3084" max="3084" width="15.140625" style="31" customWidth="1"/>
    <col min="3085" max="3085" width="21.5703125" style="31" customWidth="1"/>
    <col min="3086" max="3327" width="9.140625" style="31"/>
    <col min="3328" max="3328" width="6.5703125" style="31" customWidth="1"/>
    <col min="3329" max="3329" width="35.28515625" style="31" customWidth="1"/>
    <col min="3330" max="3330" width="14" style="31" customWidth="1"/>
    <col min="3331" max="3331" width="11.42578125" style="31" customWidth="1"/>
    <col min="3332" max="3332" width="21.7109375" style="31" customWidth="1"/>
    <col min="3333" max="3333" width="13.7109375" style="31" customWidth="1"/>
    <col min="3334" max="3334" width="14.85546875" style="31" customWidth="1"/>
    <col min="3335" max="3335" width="19.5703125" style="31" customWidth="1"/>
    <col min="3336" max="3336" width="13.7109375" style="31" customWidth="1"/>
    <col min="3337" max="3337" width="14.7109375" style="31" customWidth="1"/>
    <col min="3338" max="3339" width="14.140625" style="31" customWidth="1"/>
    <col min="3340" max="3340" width="15.140625" style="31" customWidth="1"/>
    <col min="3341" max="3341" width="21.5703125" style="31" customWidth="1"/>
    <col min="3342" max="3583" width="9.140625" style="31"/>
    <col min="3584" max="3584" width="6.5703125" style="31" customWidth="1"/>
    <col min="3585" max="3585" width="35.28515625" style="31" customWidth="1"/>
    <col min="3586" max="3586" width="14" style="31" customWidth="1"/>
    <col min="3587" max="3587" width="11.42578125" style="31" customWidth="1"/>
    <col min="3588" max="3588" width="21.7109375" style="31" customWidth="1"/>
    <col min="3589" max="3589" width="13.7109375" style="31" customWidth="1"/>
    <col min="3590" max="3590" width="14.85546875" style="31" customWidth="1"/>
    <col min="3591" max="3591" width="19.5703125" style="31" customWidth="1"/>
    <col min="3592" max="3592" width="13.7109375" style="31" customWidth="1"/>
    <col min="3593" max="3593" width="14.7109375" style="31" customWidth="1"/>
    <col min="3594" max="3595" width="14.140625" style="31" customWidth="1"/>
    <col min="3596" max="3596" width="15.140625" style="31" customWidth="1"/>
    <col min="3597" max="3597" width="21.5703125" style="31" customWidth="1"/>
    <col min="3598" max="3839" width="9.140625" style="31"/>
    <col min="3840" max="3840" width="6.5703125" style="31" customWidth="1"/>
    <col min="3841" max="3841" width="35.28515625" style="31" customWidth="1"/>
    <col min="3842" max="3842" width="14" style="31" customWidth="1"/>
    <col min="3843" max="3843" width="11.42578125" style="31" customWidth="1"/>
    <col min="3844" max="3844" width="21.7109375" style="31" customWidth="1"/>
    <col min="3845" max="3845" width="13.7109375" style="31" customWidth="1"/>
    <col min="3846" max="3846" width="14.85546875" style="31" customWidth="1"/>
    <col min="3847" max="3847" width="19.5703125" style="31" customWidth="1"/>
    <col min="3848" max="3848" width="13.7109375" style="31" customWidth="1"/>
    <col min="3849" max="3849" width="14.7109375" style="31" customWidth="1"/>
    <col min="3850" max="3851" width="14.140625" style="31" customWidth="1"/>
    <col min="3852" max="3852" width="15.140625" style="31" customWidth="1"/>
    <col min="3853" max="3853" width="21.5703125" style="31" customWidth="1"/>
    <col min="3854" max="4095" width="9.140625" style="31"/>
    <col min="4096" max="4096" width="6.5703125" style="31" customWidth="1"/>
    <col min="4097" max="4097" width="35.28515625" style="31" customWidth="1"/>
    <col min="4098" max="4098" width="14" style="31" customWidth="1"/>
    <col min="4099" max="4099" width="11.42578125" style="31" customWidth="1"/>
    <col min="4100" max="4100" width="21.7109375" style="31" customWidth="1"/>
    <col min="4101" max="4101" width="13.7109375" style="31" customWidth="1"/>
    <col min="4102" max="4102" width="14.85546875" style="31" customWidth="1"/>
    <col min="4103" max="4103" width="19.5703125" style="31" customWidth="1"/>
    <col min="4104" max="4104" width="13.7109375" style="31" customWidth="1"/>
    <col min="4105" max="4105" width="14.7109375" style="31" customWidth="1"/>
    <col min="4106" max="4107" width="14.140625" style="31" customWidth="1"/>
    <col min="4108" max="4108" width="15.140625" style="31" customWidth="1"/>
    <col min="4109" max="4109" width="21.5703125" style="31" customWidth="1"/>
    <col min="4110" max="4351" width="9.140625" style="31"/>
    <col min="4352" max="4352" width="6.5703125" style="31" customWidth="1"/>
    <col min="4353" max="4353" width="35.28515625" style="31" customWidth="1"/>
    <col min="4354" max="4354" width="14" style="31" customWidth="1"/>
    <col min="4355" max="4355" width="11.42578125" style="31" customWidth="1"/>
    <col min="4356" max="4356" width="21.7109375" style="31" customWidth="1"/>
    <col min="4357" max="4357" width="13.7109375" style="31" customWidth="1"/>
    <col min="4358" max="4358" width="14.85546875" style="31" customWidth="1"/>
    <col min="4359" max="4359" width="19.5703125" style="31" customWidth="1"/>
    <col min="4360" max="4360" width="13.7109375" style="31" customWidth="1"/>
    <col min="4361" max="4361" width="14.7109375" style="31" customWidth="1"/>
    <col min="4362" max="4363" width="14.140625" style="31" customWidth="1"/>
    <col min="4364" max="4364" width="15.140625" style="31" customWidth="1"/>
    <col min="4365" max="4365" width="21.5703125" style="31" customWidth="1"/>
    <col min="4366" max="4607" width="9.140625" style="31"/>
    <col min="4608" max="4608" width="6.5703125" style="31" customWidth="1"/>
    <col min="4609" max="4609" width="35.28515625" style="31" customWidth="1"/>
    <col min="4610" max="4610" width="14" style="31" customWidth="1"/>
    <col min="4611" max="4611" width="11.42578125" style="31" customWidth="1"/>
    <col min="4612" max="4612" width="21.7109375" style="31" customWidth="1"/>
    <col min="4613" max="4613" width="13.7109375" style="31" customWidth="1"/>
    <col min="4614" max="4614" width="14.85546875" style="31" customWidth="1"/>
    <col min="4615" max="4615" width="19.5703125" style="31" customWidth="1"/>
    <col min="4616" max="4616" width="13.7109375" style="31" customWidth="1"/>
    <col min="4617" max="4617" width="14.7109375" style="31" customWidth="1"/>
    <col min="4618" max="4619" width="14.140625" style="31" customWidth="1"/>
    <col min="4620" max="4620" width="15.140625" style="31" customWidth="1"/>
    <col min="4621" max="4621" width="21.5703125" style="31" customWidth="1"/>
    <col min="4622" max="4863" width="9.140625" style="31"/>
    <col min="4864" max="4864" width="6.5703125" style="31" customWidth="1"/>
    <col min="4865" max="4865" width="35.28515625" style="31" customWidth="1"/>
    <col min="4866" max="4866" width="14" style="31" customWidth="1"/>
    <col min="4867" max="4867" width="11.42578125" style="31" customWidth="1"/>
    <col min="4868" max="4868" width="21.7109375" style="31" customWidth="1"/>
    <col min="4869" max="4869" width="13.7109375" style="31" customWidth="1"/>
    <col min="4870" max="4870" width="14.85546875" style="31" customWidth="1"/>
    <col min="4871" max="4871" width="19.5703125" style="31" customWidth="1"/>
    <col min="4872" max="4872" width="13.7109375" style="31" customWidth="1"/>
    <col min="4873" max="4873" width="14.7109375" style="31" customWidth="1"/>
    <col min="4874" max="4875" width="14.140625" style="31" customWidth="1"/>
    <col min="4876" max="4876" width="15.140625" style="31" customWidth="1"/>
    <col min="4877" max="4877" width="21.5703125" style="31" customWidth="1"/>
    <col min="4878" max="5119" width="9.140625" style="31"/>
    <col min="5120" max="5120" width="6.5703125" style="31" customWidth="1"/>
    <col min="5121" max="5121" width="35.28515625" style="31" customWidth="1"/>
    <col min="5122" max="5122" width="14" style="31" customWidth="1"/>
    <col min="5123" max="5123" width="11.42578125" style="31" customWidth="1"/>
    <col min="5124" max="5124" width="21.7109375" style="31" customWidth="1"/>
    <col min="5125" max="5125" width="13.7109375" style="31" customWidth="1"/>
    <col min="5126" max="5126" width="14.85546875" style="31" customWidth="1"/>
    <col min="5127" max="5127" width="19.5703125" style="31" customWidth="1"/>
    <col min="5128" max="5128" width="13.7109375" style="31" customWidth="1"/>
    <col min="5129" max="5129" width="14.7109375" style="31" customWidth="1"/>
    <col min="5130" max="5131" width="14.140625" style="31" customWidth="1"/>
    <col min="5132" max="5132" width="15.140625" style="31" customWidth="1"/>
    <col min="5133" max="5133" width="21.5703125" style="31" customWidth="1"/>
    <col min="5134" max="5375" width="9.140625" style="31"/>
    <col min="5376" max="5376" width="6.5703125" style="31" customWidth="1"/>
    <col min="5377" max="5377" width="35.28515625" style="31" customWidth="1"/>
    <col min="5378" max="5378" width="14" style="31" customWidth="1"/>
    <col min="5379" max="5379" width="11.42578125" style="31" customWidth="1"/>
    <col min="5380" max="5380" width="21.7109375" style="31" customWidth="1"/>
    <col min="5381" max="5381" width="13.7109375" style="31" customWidth="1"/>
    <col min="5382" max="5382" width="14.85546875" style="31" customWidth="1"/>
    <col min="5383" max="5383" width="19.5703125" style="31" customWidth="1"/>
    <col min="5384" max="5384" width="13.7109375" style="31" customWidth="1"/>
    <col min="5385" max="5385" width="14.7109375" style="31" customWidth="1"/>
    <col min="5386" max="5387" width="14.140625" style="31" customWidth="1"/>
    <col min="5388" max="5388" width="15.140625" style="31" customWidth="1"/>
    <col min="5389" max="5389" width="21.5703125" style="31" customWidth="1"/>
    <col min="5390" max="5631" width="9.140625" style="31"/>
    <col min="5632" max="5632" width="6.5703125" style="31" customWidth="1"/>
    <col min="5633" max="5633" width="35.28515625" style="31" customWidth="1"/>
    <col min="5634" max="5634" width="14" style="31" customWidth="1"/>
    <col min="5635" max="5635" width="11.42578125" style="31" customWidth="1"/>
    <col min="5636" max="5636" width="21.7109375" style="31" customWidth="1"/>
    <col min="5637" max="5637" width="13.7109375" style="31" customWidth="1"/>
    <col min="5638" max="5638" width="14.85546875" style="31" customWidth="1"/>
    <col min="5639" max="5639" width="19.5703125" style="31" customWidth="1"/>
    <col min="5640" max="5640" width="13.7109375" style="31" customWidth="1"/>
    <col min="5641" max="5641" width="14.7109375" style="31" customWidth="1"/>
    <col min="5642" max="5643" width="14.140625" style="31" customWidth="1"/>
    <col min="5644" max="5644" width="15.140625" style="31" customWidth="1"/>
    <col min="5645" max="5645" width="21.5703125" style="31" customWidth="1"/>
    <col min="5646" max="5887" width="9.140625" style="31"/>
    <col min="5888" max="5888" width="6.5703125" style="31" customWidth="1"/>
    <col min="5889" max="5889" width="35.28515625" style="31" customWidth="1"/>
    <col min="5890" max="5890" width="14" style="31" customWidth="1"/>
    <col min="5891" max="5891" width="11.42578125" style="31" customWidth="1"/>
    <col min="5892" max="5892" width="21.7109375" style="31" customWidth="1"/>
    <col min="5893" max="5893" width="13.7109375" style="31" customWidth="1"/>
    <col min="5894" max="5894" width="14.85546875" style="31" customWidth="1"/>
    <col min="5895" max="5895" width="19.5703125" style="31" customWidth="1"/>
    <col min="5896" max="5896" width="13.7109375" style="31" customWidth="1"/>
    <col min="5897" max="5897" width="14.7109375" style="31" customWidth="1"/>
    <col min="5898" max="5899" width="14.140625" style="31" customWidth="1"/>
    <col min="5900" max="5900" width="15.140625" style="31" customWidth="1"/>
    <col min="5901" max="5901" width="21.5703125" style="31" customWidth="1"/>
    <col min="5902" max="6143" width="9.140625" style="31"/>
    <col min="6144" max="6144" width="6.5703125" style="31" customWidth="1"/>
    <col min="6145" max="6145" width="35.28515625" style="31" customWidth="1"/>
    <col min="6146" max="6146" width="14" style="31" customWidth="1"/>
    <col min="6147" max="6147" width="11.42578125" style="31" customWidth="1"/>
    <col min="6148" max="6148" width="21.7109375" style="31" customWidth="1"/>
    <col min="6149" max="6149" width="13.7109375" style="31" customWidth="1"/>
    <col min="6150" max="6150" width="14.85546875" style="31" customWidth="1"/>
    <col min="6151" max="6151" width="19.5703125" style="31" customWidth="1"/>
    <col min="6152" max="6152" width="13.7109375" style="31" customWidth="1"/>
    <col min="6153" max="6153" width="14.7109375" style="31" customWidth="1"/>
    <col min="6154" max="6155" width="14.140625" style="31" customWidth="1"/>
    <col min="6156" max="6156" width="15.140625" style="31" customWidth="1"/>
    <col min="6157" max="6157" width="21.5703125" style="31" customWidth="1"/>
    <col min="6158" max="6399" width="9.140625" style="31"/>
    <col min="6400" max="6400" width="6.5703125" style="31" customWidth="1"/>
    <col min="6401" max="6401" width="35.28515625" style="31" customWidth="1"/>
    <col min="6402" max="6402" width="14" style="31" customWidth="1"/>
    <col min="6403" max="6403" width="11.42578125" style="31" customWidth="1"/>
    <col min="6404" max="6404" width="21.7109375" style="31" customWidth="1"/>
    <col min="6405" max="6405" width="13.7109375" style="31" customWidth="1"/>
    <col min="6406" max="6406" width="14.85546875" style="31" customWidth="1"/>
    <col min="6407" max="6407" width="19.5703125" style="31" customWidth="1"/>
    <col min="6408" max="6408" width="13.7109375" style="31" customWidth="1"/>
    <col min="6409" max="6409" width="14.7109375" style="31" customWidth="1"/>
    <col min="6410" max="6411" width="14.140625" style="31" customWidth="1"/>
    <col min="6412" max="6412" width="15.140625" style="31" customWidth="1"/>
    <col min="6413" max="6413" width="21.5703125" style="31" customWidth="1"/>
    <col min="6414" max="6655" width="9.140625" style="31"/>
    <col min="6656" max="6656" width="6.5703125" style="31" customWidth="1"/>
    <col min="6657" max="6657" width="35.28515625" style="31" customWidth="1"/>
    <col min="6658" max="6658" width="14" style="31" customWidth="1"/>
    <col min="6659" max="6659" width="11.42578125" style="31" customWidth="1"/>
    <col min="6660" max="6660" width="21.7109375" style="31" customWidth="1"/>
    <col min="6661" max="6661" width="13.7109375" style="31" customWidth="1"/>
    <col min="6662" max="6662" width="14.85546875" style="31" customWidth="1"/>
    <col min="6663" max="6663" width="19.5703125" style="31" customWidth="1"/>
    <col min="6664" max="6664" width="13.7109375" style="31" customWidth="1"/>
    <col min="6665" max="6665" width="14.7109375" style="31" customWidth="1"/>
    <col min="6666" max="6667" width="14.140625" style="31" customWidth="1"/>
    <col min="6668" max="6668" width="15.140625" style="31" customWidth="1"/>
    <col min="6669" max="6669" width="21.5703125" style="31" customWidth="1"/>
    <col min="6670" max="6911" width="9.140625" style="31"/>
    <col min="6912" max="6912" width="6.5703125" style="31" customWidth="1"/>
    <col min="6913" max="6913" width="35.28515625" style="31" customWidth="1"/>
    <col min="6914" max="6914" width="14" style="31" customWidth="1"/>
    <col min="6915" max="6915" width="11.42578125" style="31" customWidth="1"/>
    <col min="6916" max="6916" width="21.7109375" style="31" customWidth="1"/>
    <col min="6917" max="6917" width="13.7109375" style="31" customWidth="1"/>
    <col min="6918" max="6918" width="14.85546875" style="31" customWidth="1"/>
    <col min="6919" max="6919" width="19.5703125" style="31" customWidth="1"/>
    <col min="6920" max="6920" width="13.7109375" style="31" customWidth="1"/>
    <col min="6921" max="6921" width="14.7109375" style="31" customWidth="1"/>
    <col min="6922" max="6923" width="14.140625" style="31" customWidth="1"/>
    <col min="6924" max="6924" width="15.140625" style="31" customWidth="1"/>
    <col min="6925" max="6925" width="21.5703125" style="31" customWidth="1"/>
    <col min="6926" max="7167" width="9.140625" style="31"/>
    <col min="7168" max="7168" width="6.5703125" style="31" customWidth="1"/>
    <col min="7169" max="7169" width="35.28515625" style="31" customWidth="1"/>
    <col min="7170" max="7170" width="14" style="31" customWidth="1"/>
    <col min="7171" max="7171" width="11.42578125" style="31" customWidth="1"/>
    <col min="7172" max="7172" width="21.7109375" style="31" customWidth="1"/>
    <col min="7173" max="7173" width="13.7109375" style="31" customWidth="1"/>
    <col min="7174" max="7174" width="14.85546875" style="31" customWidth="1"/>
    <col min="7175" max="7175" width="19.5703125" style="31" customWidth="1"/>
    <col min="7176" max="7176" width="13.7109375" style="31" customWidth="1"/>
    <col min="7177" max="7177" width="14.7109375" style="31" customWidth="1"/>
    <col min="7178" max="7179" width="14.140625" style="31" customWidth="1"/>
    <col min="7180" max="7180" width="15.140625" style="31" customWidth="1"/>
    <col min="7181" max="7181" width="21.5703125" style="31" customWidth="1"/>
    <col min="7182" max="7423" width="9.140625" style="31"/>
    <col min="7424" max="7424" width="6.5703125" style="31" customWidth="1"/>
    <col min="7425" max="7425" width="35.28515625" style="31" customWidth="1"/>
    <col min="7426" max="7426" width="14" style="31" customWidth="1"/>
    <col min="7427" max="7427" width="11.42578125" style="31" customWidth="1"/>
    <col min="7428" max="7428" width="21.7109375" style="31" customWidth="1"/>
    <col min="7429" max="7429" width="13.7109375" style="31" customWidth="1"/>
    <col min="7430" max="7430" width="14.85546875" style="31" customWidth="1"/>
    <col min="7431" max="7431" width="19.5703125" style="31" customWidth="1"/>
    <col min="7432" max="7432" width="13.7109375" style="31" customWidth="1"/>
    <col min="7433" max="7433" width="14.7109375" style="31" customWidth="1"/>
    <col min="7434" max="7435" width="14.140625" style="31" customWidth="1"/>
    <col min="7436" max="7436" width="15.140625" style="31" customWidth="1"/>
    <col min="7437" max="7437" width="21.5703125" style="31" customWidth="1"/>
    <col min="7438" max="7679" width="9.140625" style="31"/>
    <col min="7680" max="7680" width="6.5703125" style="31" customWidth="1"/>
    <col min="7681" max="7681" width="35.28515625" style="31" customWidth="1"/>
    <col min="7682" max="7682" width="14" style="31" customWidth="1"/>
    <col min="7683" max="7683" width="11.42578125" style="31" customWidth="1"/>
    <col min="7684" max="7684" width="21.7109375" style="31" customWidth="1"/>
    <col min="7685" max="7685" width="13.7109375" style="31" customWidth="1"/>
    <col min="7686" max="7686" width="14.85546875" style="31" customWidth="1"/>
    <col min="7687" max="7687" width="19.5703125" style="31" customWidth="1"/>
    <col min="7688" max="7688" width="13.7109375" style="31" customWidth="1"/>
    <col min="7689" max="7689" width="14.7109375" style="31" customWidth="1"/>
    <col min="7690" max="7691" width="14.140625" style="31" customWidth="1"/>
    <col min="7692" max="7692" width="15.140625" style="31" customWidth="1"/>
    <col min="7693" max="7693" width="21.5703125" style="31" customWidth="1"/>
    <col min="7694" max="7935" width="9.140625" style="31"/>
    <col min="7936" max="7936" width="6.5703125" style="31" customWidth="1"/>
    <col min="7937" max="7937" width="35.28515625" style="31" customWidth="1"/>
    <col min="7938" max="7938" width="14" style="31" customWidth="1"/>
    <col min="7939" max="7939" width="11.42578125" style="31" customWidth="1"/>
    <col min="7940" max="7940" width="21.7109375" style="31" customWidth="1"/>
    <col min="7941" max="7941" width="13.7109375" style="31" customWidth="1"/>
    <col min="7942" max="7942" width="14.85546875" style="31" customWidth="1"/>
    <col min="7943" max="7943" width="19.5703125" style="31" customWidth="1"/>
    <col min="7944" max="7944" width="13.7109375" style="31" customWidth="1"/>
    <col min="7945" max="7945" width="14.7109375" style="31" customWidth="1"/>
    <col min="7946" max="7947" width="14.140625" style="31" customWidth="1"/>
    <col min="7948" max="7948" width="15.140625" style="31" customWidth="1"/>
    <col min="7949" max="7949" width="21.5703125" style="31" customWidth="1"/>
    <col min="7950" max="8191" width="9.140625" style="31"/>
    <col min="8192" max="8192" width="6.5703125" style="31" customWidth="1"/>
    <col min="8193" max="8193" width="35.28515625" style="31" customWidth="1"/>
    <col min="8194" max="8194" width="14" style="31" customWidth="1"/>
    <col min="8195" max="8195" width="11.42578125" style="31" customWidth="1"/>
    <col min="8196" max="8196" width="21.7109375" style="31" customWidth="1"/>
    <col min="8197" max="8197" width="13.7109375" style="31" customWidth="1"/>
    <col min="8198" max="8198" width="14.85546875" style="31" customWidth="1"/>
    <col min="8199" max="8199" width="19.5703125" style="31" customWidth="1"/>
    <col min="8200" max="8200" width="13.7109375" style="31" customWidth="1"/>
    <col min="8201" max="8201" width="14.7109375" style="31" customWidth="1"/>
    <col min="8202" max="8203" width="14.140625" style="31" customWidth="1"/>
    <col min="8204" max="8204" width="15.140625" style="31" customWidth="1"/>
    <col min="8205" max="8205" width="21.5703125" style="31" customWidth="1"/>
    <col min="8206" max="8447" width="9.140625" style="31"/>
    <col min="8448" max="8448" width="6.5703125" style="31" customWidth="1"/>
    <col min="8449" max="8449" width="35.28515625" style="31" customWidth="1"/>
    <col min="8450" max="8450" width="14" style="31" customWidth="1"/>
    <col min="8451" max="8451" width="11.42578125" style="31" customWidth="1"/>
    <col min="8452" max="8452" width="21.7109375" style="31" customWidth="1"/>
    <col min="8453" max="8453" width="13.7109375" style="31" customWidth="1"/>
    <col min="8454" max="8454" width="14.85546875" style="31" customWidth="1"/>
    <col min="8455" max="8455" width="19.5703125" style="31" customWidth="1"/>
    <col min="8456" max="8456" width="13.7109375" style="31" customWidth="1"/>
    <col min="8457" max="8457" width="14.7109375" style="31" customWidth="1"/>
    <col min="8458" max="8459" width="14.140625" style="31" customWidth="1"/>
    <col min="8460" max="8460" width="15.140625" style="31" customWidth="1"/>
    <col min="8461" max="8461" width="21.5703125" style="31" customWidth="1"/>
    <col min="8462" max="8703" width="9.140625" style="31"/>
    <col min="8704" max="8704" width="6.5703125" style="31" customWidth="1"/>
    <col min="8705" max="8705" width="35.28515625" style="31" customWidth="1"/>
    <col min="8706" max="8706" width="14" style="31" customWidth="1"/>
    <col min="8707" max="8707" width="11.42578125" style="31" customWidth="1"/>
    <col min="8708" max="8708" width="21.7109375" style="31" customWidth="1"/>
    <col min="8709" max="8709" width="13.7109375" style="31" customWidth="1"/>
    <col min="8710" max="8710" width="14.85546875" style="31" customWidth="1"/>
    <col min="8711" max="8711" width="19.5703125" style="31" customWidth="1"/>
    <col min="8712" max="8712" width="13.7109375" style="31" customWidth="1"/>
    <col min="8713" max="8713" width="14.7109375" style="31" customWidth="1"/>
    <col min="8714" max="8715" width="14.140625" style="31" customWidth="1"/>
    <col min="8716" max="8716" width="15.140625" style="31" customWidth="1"/>
    <col min="8717" max="8717" width="21.5703125" style="31" customWidth="1"/>
    <col min="8718" max="8959" width="9.140625" style="31"/>
    <col min="8960" max="8960" width="6.5703125" style="31" customWidth="1"/>
    <col min="8961" max="8961" width="35.28515625" style="31" customWidth="1"/>
    <col min="8962" max="8962" width="14" style="31" customWidth="1"/>
    <col min="8963" max="8963" width="11.42578125" style="31" customWidth="1"/>
    <col min="8964" max="8964" width="21.7109375" style="31" customWidth="1"/>
    <col min="8965" max="8965" width="13.7109375" style="31" customWidth="1"/>
    <col min="8966" max="8966" width="14.85546875" style="31" customWidth="1"/>
    <col min="8967" max="8967" width="19.5703125" style="31" customWidth="1"/>
    <col min="8968" max="8968" width="13.7109375" style="31" customWidth="1"/>
    <col min="8969" max="8969" width="14.7109375" style="31" customWidth="1"/>
    <col min="8970" max="8971" width="14.140625" style="31" customWidth="1"/>
    <col min="8972" max="8972" width="15.140625" style="31" customWidth="1"/>
    <col min="8973" max="8973" width="21.5703125" style="31" customWidth="1"/>
    <col min="8974" max="9215" width="9.140625" style="31"/>
    <col min="9216" max="9216" width="6.5703125" style="31" customWidth="1"/>
    <col min="9217" max="9217" width="35.28515625" style="31" customWidth="1"/>
    <col min="9218" max="9218" width="14" style="31" customWidth="1"/>
    <col min="9219" max="9219" width="11.42578125" style="31" customWidth="1"/>
    <col min="9220" max="9220" width="21.7109375" style="31" customWidth="1"/>
    <col min="9221" max="9221" width="13.7109375" style="31" customWidth="1"/>
    <col min="9222" max="9222" width="14.85546875" style="31" customWidth="1"/>
    <col min="9223" max="9223" width="19.5703125" style="31" customWidth="1"/>
    <col min="9224" max="9224" width="13.7109375" style="31" customWidth="1"/>
    <col min="9225" max="9225" width="14.7109375" style="31" customWidth="1"/>
    <col min="9226" max="9227" width="14.140625" style="31" customWidth="1"/>
    <col min="9228" max="9228" width="15.140625" style="31" customWidth="1"/>
    <col min="9229" max="9229" width="21.5703125" style="31" customWidth="1"/>
    <col min="9230" max="9471" width="9.140625" style="31"/>
    <col min="9472" max="9472" width="6.5703125" style="31" customWidth="1"/>
    <col min="9473" max="9473" width="35.28515625" style="31" customWidth="1"/>
    <col min="9474" max="9474" width="14" style="31" customWidth="1"/>
    <col min="9475" max="9475" width="11.42578125" style="31" customWidth="1"/>
    <col min="9476" max="9476" width="21.7109375" style="31" customWidth="1"/>
    <col min="9477" max="9477" width="13.7109375" style="31" customWidth="1"/>
    <col min="9478" max="9478" width="14.85546875" style="31" customWidth="1"/>
    <col min="9479" max="9479" width="19.5703125" style="31" customWidth="1"/>
    <col min="9480" max="9480" width="13.7109375" style="31" customWidth="1"/>
    <col min="9481" max="9481" width="14.7109375" style="31" customWidth="1"/>
    <col min="9482" max="9483" width="14.140625" style="31" customWidth="1"/>
    <col min="9484" max="9484" width="15.140625" style="31" customWidth="1"/>
    <col min="9485" max="9485" width="21.5703125" style="31" customWidth="1"/>
    <col min="9486" max="9727" width="9.140625" style="31"/>
    <col min="9728" max="9728" width="6.5703125" style="31" customWidth="1"/>
    <col min="9729" max="9729" width="35.28515625" style="31" customWidth="1"/>
    <col min="9730" max="9730" width="14" style="31" customWidth="1"/>
    <col min="9731" max="9731" width="11.42578125" style="31" customWidth="1"/>
    <col min="9732" max="9732" width="21.7109375" style="31" customWidth="1"/>
    <col min="9733" max="9733" width="13.7109375" style="31" customWidth="1"/>
    <col min="9734" max="9734" width="14.85546875" style="31" customWidth="1"/>
    <col min="9735" max="9735" width="19.5703125" style="31" customWidth="1"/>
    <col min="9736" max="9736" width="13.7109375" style="31" customWidth="1"/>
    <col min="9737" max="9737" width="14.7109375" style="31" customWidth="1"/>
    <col min="9738" max="9739" width="14.140625" style="31" customWidth="1"/>
    <col min="9740" max="9740" width="15.140625" style="31" customWidth="1"/>
    <col min="9741" max="9741" width="21.5703125" style="31" customWidth="1"/>
    <col min="9742" max="9983" width="9.140625" style="31"/>
    <col min="9984" max="9984" width="6.5703125" style="31" customWidth="1"/>
    <col min="9985" max="9985" width="35.28515625" style="31" customWidth="1"/>
    <col min="9986" max="9986" width="14" style="31" customWidth="1"/>
    <col min="9987" max="9987" width="11.42578125" style="31" customWidth="1"/>
    <col min="9988" max="9988" width="21.7109375" style="31" customWidth="1"/>
    <col min="9989" max="9989" width="13.7109375" style="31" customWidth="1"/>
    <col min="9990" max="9990" width="14.85546875" style="31" customWidth="1"/>
    <col min="9991" max="9991" width="19.5703125" style="31" customWidth="1"/>
    <col min="9992" max="9992" width="13.7109375" style="31" customWidth="1"/>
    <col min="9993" max="9993" width="14.7109375" style="31" customWidth="1"/>
    <col min="9994" max="9995" width="14.140625" style="31" customWidth="1"/>
    <col min="9996" max="9996" width="15.140625" style="31" customWidth="1"/>
    <col min="9997" max="9997" width="21.5703125" style="31" customWidth="1"/>
    <col min="9998" max="10239" width="9.140625" style="31"/>
    <col min="10240" max="10240" width="6.5703125" style="31" customWidth="1"/>
    <col min="10241" max="10241" width="35.28515625" style="31" customWidth="1"/>
    <col min="10242" max="10242" width="14" style="31" customWidth="1"/>
    <col min="10243" max="10243" width="11.42578125" style="31" customWidth="1"/>
    <col min="10244" max="10244" width="21.7109375" style="31" customWidth="1"/>
    <col min="10245" max="10245" width="13.7109375" style="31" customWidth="1"/>
    <col min="10246" max="10246" width="14.85546875" style="31" customWidth="1"/>
    <col min="10247" max="10247" width="19.5703125" style="31" customWidth="1"/>
    <col min="10248" max="10248" width="13.7109375" style="31" customWidth="1"/>
    <col min="10249" max="10249" width="14.7109375" style="31" customWidth="1"/>
    <col min="10250" max="10251" width="14.140625" style="31" customWidth="1"/>
    <col min="10252" max="10252" width="15.140625" style="31" customWidth="1"/>
    <col min="10253" max="10253" width="21.5703125" style="31" customWidth="1"/>
    <col min="10254" max="10495" width="9.140625" style="31"/>
    <col min="10496" max="10496" width="6.5703125" style="31" customWidth="1"/>
    <col min="10497" max="10497" width="35.28515625" style="31" customWidth="1"/>
    <col min="10498" max="10498" width="14" style="31" customWidth="1"/>
    <col min="10499" max="10499" width="11.42578125" style="31" customWidth="1"/>
    <col min="10500" max="10500" width="21.7109375" style="31" customWidth="1"/>
    <col min="10501" max="10501" width="13.7109375" style="31" customWidth="1"/>
    <col min="10502" max="10502" width="14.85546875" style="31" customWidth="1"/>
    <col min="10503" max="10503" width="19.5703125" style="31" customWidth="1"/>
    <col min="10504" max="10504" width="13.7109375" style="31" customWidth="1"/>
    <col min="10505" max="10505" width="14.7109375" style="31" customWidth="1"/>
    <col min="10506" max="10507" width="14.140625" style="31" customWidth="1"/>
    <col min="10508" max="10508" width="15.140625" style="31" customWidth="1"/>
    <col min="10509" max="10509" width="21.5703125" style="31" customWidth="1"/>
    <col min="10510" max="10751" width="9.140625" style="31"/>
    <col min="10752" max="10752" width="6.5703125" style="31" customWidth="1"/>
    <col min="10753" max="10753" width="35.28515625" style="31" customWidth="1"/>
    <col min="10754" max="10754" width="14" style="31" customWidth="1"/>
    <col min="10755" max="10755" width="11.42578125" style="31" customWidth="1"/>
    <col min="10756" max="10756" width="21.7109375" style="31" customWidth="1"/>
    <col min="10757" max="10757" width="13.7109375" style="31" customWidth="1"/>
    <col min="10758" max="10758" width="14.85546875" style="31" customWidth="1"/>
    <col min="10759" max="10759" width="19.5703125" style="31" customWidth="1"/>
    <col min="10760" max="10760" width="13.7109375" style="31" customWidth="1"/>
    <col min="10761" max="10761" width="14.7109375" style="31" customWidth="1"/>
    <col min="10762" max="10763" width="14.140625" style="31" customWidth="1"/>
    <col min="10764" max="10764" width="15.140625" style="31" customWidth="1"/>
    <col min="10765" max="10765" width="21.5703125" style="31" customWidth="1"/>
    <col min="10766" max="11007" width="9.140625" style="31"/>
    <col min="11008" max="11008" width="6.5703125" style="31" customWidth="1"/>
    <col min="11009" max="11009" width="35.28515625" style="31" customWidth="1"/>
    <col min="11010" max="11010" width="14" style="31" customWidth="1"/>
    <col min="11011" max="11011" width="11.42578125" style="31" customWidth="1"/>
    <col min="11012" max="11012" width="21.7109375" style="31" customWidth="1"/>
    <col min="11013" max="11013" width="13.7109375" style="31" customWidth="1"/>
    <col min="11014" max="11014" width="14.85546875" style="31" customWidth="1"/>
    <col min="11015" max="11015" width="19.5703125" style="31" customWidth="1"/>
    <col min="11016" max="11016" width="13.7109375" style="31" customWidth="1"/>
    <col min="11017" max="11017" width="14.7109375" style="31" customWidth="1"/>
    <col min="11018" max="11019" width="14.140625" style="31" customWidth="1"/>
    <col min="11020" max="11020" width="15.140625" style="31" customWidth="1"/>
    <col min="11021" max="11021" width="21.5703125" style="31" customWidth="1"/>
    <col min="11022" max="11263" width="9.140625" style="31"/>
    <col min="11264" max="11264" width="6.5703125" style="31" customWidth="1"/>
    <col min="11265" max="11265" width="35.28515625" style="31" customWidth="1"/>
    <col min="11266" max="11266" width="14" style="31" customWidth="1"/>
    <col min="11267" max="11267" width="11.42578125" style="31" customWidth="1"/>
    <col min="11268" max="11268" width="21.7109375" style="31" customWidth="1"/>
    <col min="11269" max="11269" width="13.7109375" style="31" customWidth="1"/>
    <col min="11270" max="11270" width="14.85546875" style="31" customWidth="1"/>
    <col min="11271" max="11271" width="19.5703125" style="31" customWidth="1"/>
    <col min="11272" max="11272" width="13.7109375" style="31" customWidth="1"/>
    <col min="11273" max="11273" width="14.7109375" style="31" customWidth="1"/>
    <col min="11274" max="11275" width="14.140625" style="31" customWidth="1"/>
    <col min="11276" max="11276" width="15.140625" style="31" customWidth="1"/>
    <col min="11277" max="11277" width="21.5703125" style="31" customWidth="1"/>
    <col min="11278" max="11519" width="9.140625" style="31"/>
    <col min="11520" max="11520" width="6.5703125" style="31" customWidth="1"/>
    <col min="11521" max="11521" width="35.28515625" style="31" customWidth="1"/>
    <col min="11522" max="11522" width="14" style="31" customWidth="1"/>
    <col min="11523" max="11523" width="11.42578125" style="31" customWidth="1"/>
    <col min="11524" max="11524" width="21.7109375" style="31" customWidth="1"/>
    <col min="11525" max="11525" width="13.7109375" style="31" customWidth="1"/>
    <col min="11526" max="11526" width="14.85546875" style="31" customWidth="1"/>
    <col min="11527" max="11527" width="19.5703125" style="31" customWidth="1"/>
    <col min="11528" max="11528" width="13.7109375" style="31" customWidth="1"/>
    <col min="11529" max="11529" width="14.7109375" style="31" customWidth="1"/>
    <col min="11530" max="11531" width="14.140625" style="31" customWidth="1"/>
    <col min="11532" max="11532" width="15.140625" style="31" customWidth="1"/>
    <col min="11533" max="11533" width="21.5703125" style="31" customWidth="1"/>
    <col min="11534" max="11775" width="9.140625" style="31"/>
    <col min="11776" max="11776" width="6.5703125" style="31" customWidth="1"/>
    <col min="11777" max="11777" width="35.28515625" style="31" customWidth="1"/>
    <col min="11778" max="11778" width="14" style="31" customWidth="1"/>
    <col min="11779" max="11779" width="11.42578125" style="31" customWidth="1"/>
    <col min="11780" max="11780" width="21.7109375" style="31" customWidth="1"/>
    <col min="11781" max="11781" width="13.7109375" style="31" customWidth="1"/>
    <col min="11782" max="11782" width="14.85546875" style="31" customWidth="1"/>
    <col min="11783" max="11783" width="19.5703125" style="31" customWidth="1"/>
    <col min="11784" max="11784" width="13.7109375" style="31" customWidth="1"/>
    <col min="11785" max="11785" width="14.7109375" style="31" customWidth="1"/>
    <col min="11786" max="11787" width="14.140625" style="31" customWidth="1"/>
    <col min="11788" max="11788" width="15.140625" style="31" customWidth="1"/>
    <col min="11789" max="11789" width="21.5703125" style="31" customWidth="1"/>
    <col min="11790" max="12031" width="9.140625" style="31"/>
    <col min="12032" max="12032" width="6.5703125" style="31" customWidth="1"/>
    <col min="12033" max="12033" width="35.28515625" style="31" customWidth="1"/>
    <col min="12034" max="12034" width="14" style="31" customWidth="1"/>
    <col min="12035" max="12035" width="11.42578125" style="31" customWidth="1"/>
    <col min="12036" max="12036" width="21.7109375" style="31" customWidth="1"/>
    <col min="12037" max="12037" width="13.7109375" style="31" customWidth="1"/>
    <col min="12038" max="12038" width="14.85546875" style="31" customWidth="1"/>
    <col min="12039" max="12039" width="19.5703125" style="31" customWidth="1"/>
    <col min="12040" max="12040" width="13.7109375" style="31" customWidth="1"/>
    <col min="12041" max="12041" width="14.7109375" style="31" customWidth="1"/>
    <col min="12042" max="12043" width="14.140625" style="31" customWidth="1"/>
    <col min="12044" max="12044" width="15.140625" style="31" customWidth="1"/>
    <col min="12045" max="12045" width="21.5703125" style="31" customWidth="1"/>
    <col min="12046" max="12287" width="9.140625" style="31"/>
    <col min="12288" max="12288" width="6.5703125" style="31" customWidth="1"/>
    <col min="12289" max="12289" width="35.28515625" style="31" customWidth="1"/>
    <col min="12290" max="12290" width="14" style="31" customWidth="1"/>
    <col min="12291" max="12291" width="11.42578125" style="31" customWidth="1"/>
    <col min="12292" max="12292" width="21.7109375" style="31" customWidth="1"/>
    <col min="12293" max="12293" width="13.7109375" style="31" customWidth="1"/>
    <col min="12294" max="12294" width="14.85546875" style="31" customWidth="1"/>
    <col min="12295" max="12295" width="19.5703125" style="31" customWidth="1"/>
    <col min="12296" max="12296" width="13.7109375" style="31" customWidth="1"/>
    <col min="12297" max="12297" width="14.7109375" style="31" customWidth="1"/>
    <col min="12298" max="12299" width="14.140625" style="31" customWidth="1"/>
    <col min="12300" max="12300" width="15.140625" style="31" customWidth="1"/>
    <col min="12301" max="12301" width="21.5703125" style="31" customWidth="1"/>
    <col min="12302" max="12543" width="9.140625" style="31"/>
    <col min="12544" max="12544" width="6.5703125" style="31" customWidth="1"/>
    <col min="12545" max="12545" width="35.28515625" style="31" customWidth="1"/>
    <col min="12546" max="12546" width="14" style="31" customWidth="1"/>
    <col min="12547" max="12547" width="11.42578125" style="31" customWidth="1"/>
    <col min="12548" max="12548" width="21.7109375" style="31" customWidth="1"/>
    <col min="12549" max="12549" width="13.7109375" style="31" customWidth="1"/>
    <col min="12550" max="12550" width="14.85546875" style="31" customWidth="1"/>
    <col min="12551" max="12551" width="19.5703125" style="31" customWidth="1"/>
    <col min="12552" max="12552" width="13.7109375" style="31" customWidth="1"/>
    <col min="12553" max="12553" width="14.7109375" style="31" customWidth="1"/>
    <col min="12554" max="12555" width="14.140625" style="31" customWidth="1"/>
    <col min="12556" max="12556" width="15.140625" style="31" customWidth="1"/>
    <col min="12557" max="12557" width="21.5703125" style="31" customWidth="1"/>
    <col min="12558" max="12799" width="9.140625" style="31"/>
    <col min="12800" max="12800" width="6.5703125" style="31" customWidth="1"/>
    <col min="12801" max="12801" width="35.28515625" style="31" customWidth="1"/>
    <col min="12802" max="12802" width="14" style="31" customWidth="1"/>
    <col min="12803" max="12803" width="11.42578125" style="31" customWidth="1"/>
    <col min="12804" max="12804" width="21.7109375" style="31" customWidth="1"/>
    <col min="12805" max="12805" width="13.7109375" style="31" customWidth="1"/>
    <col min="12806" max="12806" width="14.85546875" style="31" customWidth="1"/>
    <col min="12807" max="12807" width="19.5703125" style="31" customWidth="1"/>
    <col min="12808" max="12808" width="13.7109375" style="31" customWidth="1"/>
    <col min="12809" max="12809" width="14.7109375" style="31" customWidth="1"/>
    <col min="12810" max="12811" width="14.140625" style="31" customWidth="1"/>
    <col min="12812" max="12812" width="15.140625" style="31" customWidth="1"/>
    <col min="12813" max="12813" width="21.5703125" style="31" customWidth="1"/>
    <col min="12814" max="13055" width="9.140625" style="31"/>
    <col min="13056" max="13056" width="6.5703125" style="31" customWidth="1"/>
    <col min="13057" max="13057" width="35.28515625" style="31" customWidth="1"/>
    <col min="13058" max="13058" width="14" style="31" customWidth="1"/>
    <col min="13059" max="13059" width="11.42578125" style="31" customWidth="1"/>
    <col min="13060" max="13060" width="21.7109375" style="31" customWidth="1"/>
    <col min="13061" max="13061" width="13.7109375" style="31" customWidth="1"/>
    <col min="13062" max="13062" width="14.85546875" style="31" customWidth="1"/>
    <col min="13063" max="13063" width="19.5703125" style="31" customWidth="1"/>
    <col min="13064" max="13064" width="13.7109375" style="31" customWidth="1"/>
    <col min="13065" max="13065" width="14.7109375" style="31" customWidth="1"/>
    <col min="13066" max="13067" width="14.140625" style="31" customWidth="1"/>
    <col min="13068" max="13068" width="15.140625" style="31" customWidth="1"/>
    <col min="13069" max="13069" width="21.5703125" style="31" customWidth="1"/>
    <col min="13070" max="13311" width="9.140625" style="31"/>
    <col min="13312" max="13312" width="6.5703125" style="31" customWidth="1"/>
    <col min="13313" max="13313" width="35.28515625" style="31" customWidth="1"/>
    <col min="13314" max="13314" width="14" style="31" customWidth="1"/>
    <col min="13315" max="13315" width="11.42578125" style="31" customWidth="1"/>
    <col min="13316" max="13316" width="21.7109375" style="31" customWidth="1"/>
    <col min="13317" max="13317" width="13.7109375" style="31" customWidth="1"/>
    <col min="13318" max="13318" width="14.85546875" style="31" customWidth="1"/>
    <col min="13319" max="13319" width="19.5703125" style="31" customWidth="1"/>
    <col min="13320" max="13320" width="13.7109375" style="31" customWidth="1"/>
    <col min="13321" max="13321" width="14.7109375" style="31" customWidth="1"/>
    <col min="13322" max="13323" width="14.140625" style="31" customWidth="1"/>
    <col min="13324" max="13324" width="15.140625" style="31" customWidth="1"/>
    <col min="13325" max="13325" width="21.5703125" style="31" customWidth="1"/>
    <col min="13326" max="13567" width="9.140625" style="31"/>
    <col min="13568" max="13568" width="6.5703125" style="31" customWidth="1"/>
    <col min="13569" max="13569" width="35.28515625" style="31" customWidth="1"/>
    <col min="13570" max="13570" width="14" style="31" customWidth="1"/>
    <col min="13571" max="13571" width="11.42578125" style="31" customWidth="1"/>
    <col min="13572" max="13572" width="21.7109375" style="31" customWidth="1"/>
    <col min="13573" max="13573" width="13.7109375" style="31" customWidth="1"/>
    <col min="13574" max="13574" width="14.85546875" style="31" customWidth="1"/>
    <col min="13575" max="13575" width="19.5703125" style="31" customWidth="1"/>
    <col min="13576" max="13576" width="13.7109375" style="31" customWidth="1"/>
    <col min="13577" max="13577" width="14.7109375" style="31" customWidth="1"/>
    <col min="13578" max="13579" width="14.140625" style="31" customWidth="1"/>
    <col min="13580" max="13580" width="15.140625" style="31" customWidth="1"/>
    <col min="13581" max="13581" width="21.5703125" style="31" customWidth="1"/>
    <col min="13582" max="13823" width="9.140625" style="31"/>
    <col min="13824" max="13824" width="6.5703125" style="31" customWidth="1"/>
    <col min="13825" max="13825" width="35.28515625" style="31" customWidth="1"/>
    <col min="13826" max="13826" width="14" style="31" customWidth="1"/>
    <col min="13827" max="13827" width="11.42578125" style="31" customWidth="1"/>
    <col min="13828" max="13828" width="21.7109375" style="31" customWidth="1"/>
    <col min="13829" max="13829" width="13.7109375" style="31" customWidth="1"/>
    <col min="13830" max="13830" width="14.85546875" style="31" customWidth="1"/>
    <col min="13831" max="13831" width="19.5703125" style="31" customWidth="1"/>
    <col min="13832" max="13832" width="13.7109375" style="31" customWidth="1"/>
    <col min="13833" max="13833" width="14.7109375" style="31" customWidth="1"/>
    <col min="13834" max="13835" width="14.140625" style="31" customWidth="1"/>
    <col min="13836" max="13836" width="15.140625" style="31" customWidth="1"/>
    <col min="13837" max="13837" width="21.5703125" style="31" customWidth="1"/>
    <col min="13838" max="14079" width="9.140625" style="31"/>
    <col min="14080" max="14080" width="6.5703125" style="31" customWidth="1"/>
    <col min="14081" max="14081" width="35.28515625" style="31" customWidth="1"/>
    <col min="14082" max="14082" width="14" style="31" customWidth="1"/>
    <col min="14083" max="14083" width="11.42578125" style="31" customWidth="1"/>
    <col min="14084" max="14084" width="21.7109375" style="31" customWidth="1"/>
    <col min="14085" max="14085" width="13.7109375" style="31" customWidth="1"/>
    <col min="14086" max="14086" width="14.85546875" style="31" customWidth="1"/>
    <col min="14087" max="14087" width="19.5703125" style="31" customWidth="1"/>
    <col min="14088" max="14088" width="13.7109375" style="31" customWidth="1"/>
    <col min="14089" max="14089" width="14.7109375" style="31" customWidth="1"/>
    <col min="14090" max="14091" width="14.140625" style="31" customWidth="1"/>
    <col min="14092" max="14092" width="15.140625" style="31" customWidth="1"/>
    <col min="14093" max="14093" width="21.5703125" style="31" customWidth="1"/>
    <col min="14094" max="14335" width="9.140625" style="31"/>
    <col min="14336" max="14336" width="6.5703125" style="31" customWidth="1"/>
    <col min="14337" max="14337" width="35.28515625" style="31" customWidth="1"/>
    <col min="14338" max="14338" width="14" style="31" customWidth="1"/>
    <col min="14339" max="14339" width="11.42578125" style="31" customWidth="1"/>
    <col min="14340" max="14340" width="21.7109375" style="31" customWidth="1"/>
    <col min="14341" max="14341" width="13.7109375" style="31" customWidth="1"/>
    <col min="14342" max="14342" width="14.85546875" style="31" customWidth="1"/>
    <col min="14343" max="14343" width="19.5703125" style="31" customWidth="1"/>
    <col min="14344" max="14344" width="13.7109375" style="31" customWidth="1"/>
    <col min="14345" max="14345" width="14.7109375" style="31" customWidth="1"/>
    <col min="14346" max="14347" width="14.140625" style="31" customWidth="1"/>
    <col min="14348" max="14348" width="15.140625" style="31" customWidth="1"/>
    <col min="14349" max="14349" width="21.5703125" style="31" customWidth="1"/>
    <col min="14350" max="14591" width="9.140625" style="31"/>
    <col min="14592" max="14592" width="6.5703125" style="31" customWidth="1"/>
    <col min="14593" max="14593" width="35.28515625" style="31" customWidth="1"/>
    <col min="14594" max="14594" width="14" style="31" customWidth="1"/>
    <col min="14595" max="14595" width="11.42578125" style="31" customWidth="1"/>
    <col min="14596" max="14596" width="21.7109375" style="31" customWidth="1"/>
    <col min="14597" max="14597" width="13.7109375" style="31" customWidth="1"/>
    <col min="14598" max="14598" width="14.85546875" style="31" customWidth="1"/>
    <col min="14599" max="14599" width="19.5703125" style="31" customWidth="1"/>
    <col min="14600" max="14600" width="13.7109375" style="31" customWidth="1"/>
    <col min="14601" max="14601" width="14.7109375" style="31" customWidth="1"/>
    <col min="14602" max="14603" width="14.140625" style="31" customWidth="1"/>
    <col min="14604" max="14604" width="15.140625" style="31" customWidth="1"/>
    <col min="14605" max="14605" width="21.5703125" style="31" customWidth="1"/>
    <col min="14606" max="14847" width="9.140625" style="31"/>
    <col min="14848" max="14848" width="6.5703125" style="31" customWidth="1"/>
    <col min="14849" max="14849" width="35.28515625" style="31" customWidth="1"/>
    <col min="14850" max="14850" width="14" style="31" customWidth="1"/>
    <col min="14851" max="14851" width="11.42578125" style="31" customWidth="1"/>
    <col min="14852" max="14852" width="21.7109375" style="31" customWidth="1"/>
    <col min="14853" max="14853" width="13.7109375" style="31" customWidth="1"/>
    <col min="14854" max="14854" width="14.85546875" style="31" customWidth="1"/>
    <col min="14855" max="14855" width="19.5703125" style="31" customWidth="1"/>
    <col min="14856" max="14856" width="13.7109375" style="31" customWidth="1"/>
    <col min="14857" max="14857" width="14.7109375" style="31" customWidth="1"/>
    <col min="14858" max="14859" width="14.140625" style="31" customWidth="1"/>
    <col min="14860" max="14860" width="15.140625" style="31" customWidth="1"/>
    <col min="14861" max="14861" width="21.5703125" style="31" customWidth="1"/>
    <col min="14862" max="15103" width="9.140625" style="31"/>
    <col min="15104" max="15104" width="6.5703125" style="31" customWidth="1"/>
    <col min="15105" max="15105" width="35.28515625" style="31" customWidth="1"/>
    <col min="15106" max="15106" width="14" style="31" customWidth="1"/>
    <col min="15107" max="15107" width="11.42578125" style="31" customWidth="1"/>
    <col min="15108" max="15108" width="21.7109375" style="31" customWidth="1"/>
    <col min="15109" max="15109" width="13.7109375" style="31" customWidth="1"/>
    <col min="15110" max="15110" width="14.85546875" style="31" customWidth="1"/>
    <col min="15111" max="15111" width="19.5703125" style="31" customWidth="1"/>
    <col min="15112" max="15112" width="13.7109375" style="31" customWidth="1"/>
    <col min="15113" max="15113" width="14.7109375" style="31" customWidth="1"/>
    <col min="15114" max="15115" width="14.140625" style="31" customWidth="1"/>
    <col min="15116" max="15116" width="15.140625" style="31" customWidth="1"/>
    <col min="15117" max="15117" width="21.5703125" style="31" customWidth="1"/>
    <col min="15118" max="15359" width="9.140625" style="31"/>
    <col min="15360" max="15360" width="6.5703125" style="31" customWidth="1"/>
    <col min="15361" max="15361" width="35.28515625" style="31" customWidth="1"/>
    <col min="15362" max="15362" width="14" style="31" customWidth="1"/>
    <col min="15363" max="15363" width="11.42578125" style="31" customWidth="1"/>
    <col min="15364" max="15364" width="21.7109375" style="31" customWidth="1"/>
    <col min="15365" max="15365" width="13.7109375" style="31" customWidth="1"/>
    <col min="15366" max="15366" width="14.85546875" style="31" customWidth="1"/>
    <col min="15367" max="15367" width="19.5703125" style="31" customWidth="1"/>
    <col min="15368" max="15368" width="13.7109375" style="31" customWidth="1"/>
    <col min="15369" max="15369" width="14.7109375" style="31" customWidth="1"/>
    <col min="15370" max="15371" width="14.140625" style="31" customWidth="1"/>
    <col min="15372" max="15372" width="15.140625" style="31" customWidth="1"/>
    <col min="15373" max="15373" width="21.5703125" style="31" customWidth="1"/>
    <col min="15374" max="15615" width="9.140625" style="31"/>
    <col min="15616" max="15616" width="6.5703125" style="31" customWidth="1"/>
    <col min="15617" max="15617" width="35.28515625" style="31" customWidth="1"/>
    <col min="15618" max="15618" width="14" style="31" customWidth="1"/>
    <col min="15619" max="15619" width="11.42578125" style="31" customWidth="1"/>
    <col min="15620" max="15620" width="21.7109375" style="31" customWidth="1"/>
    <col min="15621" max="15621" width="13.7109375" style="31" customWidth="1"/>
    <col min="15622" max="15622" width="14.85546875" style="31" customWidth="1"/>
    <col min="15623" max="15623" width="19.5703125" style="31" customWidth="1"/>
    <col min="15624" max="15624" width="13.7109375" style="31" customWidth="1"/>
    <col min="15625" max="15625" width="14.7109375" style="31" customWidth="1"/>
    <col min="15626" max="15627" width="14.140625" style="31" customWidth="1"/>
    <col min="15628" max="15628" width="15.140625" style="31" customWidth="1"/>
    <col min="15629" max="15629" width="21.5703125" style="31" customWidth="1"/>
    <col min="15630" max="15871" width="9.140625" style="31"/>
    <col min="15872" max="15872" width="6.5703125" style="31" customWidth="1"/>
    <col min="15873" max="15873" width="35.28515625" style="31" customWidth="1"/>
    <col min="15874" max="15874" width="14" style="31" customWidth="1"/>
    <col min="15875" max="15875" width="11.42578125" style="31" customWidth="1"/>
    <col min="15876" max="15876" width="21.7109375" style="31" customWidth="1"/>
    <col min="15877" max="15877" width="13.7109375" style="31" customWidth="1"/>
    <col min="15878" max="15878" width="14.85546875" style="31" customWidth="1"/>
    <col min="15879" max="15879" width="19.5703125" style="31" customWidth="1"/>
    <col min="15880" max="15880" width="13.7109375" style="31" customWidth="1"/>
    <col min="15881" max="15881" width="14.7109375" style="31" customWidth="1"/>
    <col min="15882" max="15883" width="14.140625" style="31" customWidth="1"/>
    <col min="15884" max="15884" width="15.140625" style="31" customWidth="1"/>
    <col min="15885" max="15885" width="21.5703125" style="31" customWidth="1"/>
    <col min="15886" max="16127" width="9.140625" style="31"/>
    <col min="16128" max="16128" width="6.5703125" style="31" customWidth="1"/>
    <col min="16129" max="16129" width="35.28515625" style="31" customWidth="1"/>
    <col min="16130" max="16130" width="14" style="31" customWidth="1"/>
    <col min="16131" max="16131" width="11.42578125" style="31" customWidth="1"/>
    <col min="16132" max="16132" width="21.7109375" style="31" customWidth="1"/>
    <col min="16133" max="16133" width="13.7109375" style="31" customWidth="1"/>
    <col min="16134" max="16134" width="14.85546875" style="31" customWidth="1"/>
    <col min="16135" max="16135" width="19.5703125" style="31" customWidth="1"/>
    <col min="16136" max="16136" width="13.7109375" style="31" customWidth="1"/>
    <col min="16137" max="16137" width="14.7109375" style="31" customWidth="1"/>
    <col min="16138" max="16139" width="14.140625" style="31" customWidth="1"/>
    <col min="16140" max="16140" width="15.140625" style="31" customWidth="1"/>
    <col min="16141" max="16141" width="21.5703125" style="31" customWidth="1"/>
    <col min="16142" max="16384" width="9.140625" style="31"/>
  </cols>
  <sheetData>
    <row r="1" spans="1:13" x14ac:dyDescent="0.25">
      <c r="A1" s="199" t="str">
        <f>'Подпрограмма 5'!A1:P1</f>
        <v>Отчет об использовании денежных средств в рамках исполнения мероприятий подпрограммы 5 "Развитие социальной инфраструктуры и создание комфортных условий проживания в поселениях муниципального района "Заполярный район"
муниципальной программы "Комплексное развитие поселений муниципального района "Заполярный район" на 2017-2019 годы"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x14ac:dyDescent="0.25">
      <c r="A2" s="199" t="str">
        <f>'Подпрограмма 1'!A2:O2</f>
        <v>по состоянию на 01 января 2018  года (с начала года нарастающим итогом)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</row>
    <row r="3" spans="1:13" x14ac:dyDescent="0.25">
      <c r="A3" s="193" t="s">
        <v>236</v>
      </c>
      <c r="B3" s="193" t="s">
        <v>237</v>
      </c>
      <c r="C3" s="200" t="s">
        <v>238</v>
      </c>
      <c r="D3" s="201"/>
      <c r="E3" s="193" t="s">
        <v>239</v>
      </c>
      <c r="F3" s="193" t="s">
        <v>240</v>
      </c>
      <c r="G3" s="193" t="s">
        <v>241</v>
      </c>
      <c r="H3" s="193" t="s">
        <v>242</v>
      </c>
      <c r="I3" s="194" t="s">
        <v>243</v>
      </c>
      <c r="J3" s="194" t="s">
        <v>244</v>
      </c>
      <c r="K3" s="193" t="s">
        <v>245</v>
      </c>
      <c r="L3" s="193"/>
      <c r="M3" s="193"/>
    </row>
    <row r="4" spans="1:13" x14ac:dyDescent="0.25">
      <c r="A4" s="193"/>
      <c r="B4" s="193"/>
      <c r="C4" s="194" t="s">
        <v>246</v>
      </c>
      <c r="D4" s="194" t="s">
        <v>247</v>
      </c>
      <c r="E4" s="193"/>
      <c r="F4" s="193"/>
      <c r="G4" s="193"/>
      <c r="H4" s="193"/>
      <c r="I4" s="202"/>
      <c r="J4" s="202"/>
      <c r="K4" s="193" t="s">
        <v>248</v>
      </c>
      <c r="L4" s="194" t="s">
        <v>249</v>
      </c>
      <c r="M4" s="193" t="s">
        <v>250</v>
      </c>
    </row>
    <row r="5" spans="1:13" x14ac:dyDescent="0.25">
      <c r="A5" s="193"/>
      <c r="B5" s="193"/>
      <c r="C5" s="195"/>
      <c r="D5" s="195"/>
      <c r="E5" s="193"/>
      <c r="F5" s="193"/>
      <c r="G5" s="193"/>
      <c r="H5" s="193"/>
      <c r="I5" s="195"/>
      <c r="J5" s="195"/>
      <c r="K5" s="193"/>
      <c r="L5" s="195"/>
      <c r="M5" s="193"/>
    </row>
    <row r="6" spans="1:13" x14ac:dyDescent="0.25">
      <c r="A6" s="32">
        <v>1</v>
      </c>
      <c r="B6" s="32">
        <v>2</v>
      </c>
      <c r="C6" s="32">
        <f>B6+1</f>
        <v>3</v>
      </c>
      <c r="D6" s="32">
        <f t="shared" ref="D6:K6" si="0">C6+1</f>
        <v>4</v>
      </c>
      <c r="E6" s="32">
        <v>3</v>
      </c>
      <c r="F6" s="32">
        <v>4</v>
      </c>
      <c r="G6" s="32">
        <v>5</v>
      </c>
      <c r="H6" s="32">
        <f t="shared" si="0"/>
        <v>6</v>
      </c>
      <c r="I6" s="32">
        <f t="shared" si="0"/>
        <v>7</v>
      </c>
      <c r="J6" s="32">
        <f t="shared" si="0"/>
        <v>8</v>
      </c>
      <c r="K6" s="32">
        <f t="shared" si="0"/>
        <v>9</v>
      </c>
      <c r="L6" s="32">
        <v>10</v>
      </c>
      <c r="M6" s="32">
        <v>11</v>
      </c>
    </row>
    <row r="7" spans="1:13" ht="31.5" x14ac:dyDescent="0.25">
      <c r="A7" s="41">
        <v>1</v>
      </c>
      <c r="B7" s="41" t="str">
        <f>'Подпрограмма 5'!B7</f>
        <v>Строительство объекта "Корпус школы в с. Нижняя Пеша"</v>
      </c>
      <c r="C7" s="42">
        <v>41163</v>
      </c>
      <c r="D7" s="42">
        <v>41190</v>
      </c>
      <c r="E7" s="36" t="s">
        <v>265</v>
      </c>
      <c r="F7" s="36" t="s">
        <v>266</v>
      </c>
      <c r="G7" s="36" t="s">
        <v>3</v>
      </c>
      <c r="H7" s="37">
        <v>41789</v>
      </c>
      <c r="I7" s="54">
        <v>104897.1</v>
      </c>
      <c r="J7" s="38"/>
      <c r="K7" s="111">
        <f>52850.2+46796.6+M7</f>
        <v>104897.09999999999</v>
      </c>
      <c r="L7" s="39"/>
      <c r="M7" s="38">
        <f>'Подпрограмма 5'!L7</f>
        <v>5250.3</v>
      </c>
    </row>
    <row r="8" spans="1:13" s="40" customFormat="1" ht="47.25" x14ac:dyDescent="0.25">
      <c r="A8" s="41">
        <f>A7+1</f>
        <v>2</v>
      </c>
      <c r="B8" s="41" t="str">
        <f>'Подпрограмма 5'!B8</f>
        <v>Строительство объекта "Школа на 100 мест в с. Тельвиска Ненецкого автономного округа"</v>
      </c>
      <c r="C8" s="53" t="s">
        <v>251</v>
      </c>
      <c r="D8" s="53" t="s">
        <v>252</v>
      </c>
      <c r="E8" s="36" t="s">
        <v>253</v>
      </c>
      <c r="F8" s="36" t="s">
        <v>254</v>
      </c>
      <c r="G8" s="36" t="s">
        <v>255</v>
      </c>
      <c r="H8" s="37">
        <v>42962</v>
      </c>
      <c r="I8" s="38">
        <v>278200</v>
      </c>
      <c r="J8" s="38"/>
      <c r="K8" s="111">
        <f>174957.4+M8</f>
        <v>282187.40493999998</v>
      </c>
      <c r="L8" s="39"/>
      <c r="M8" s="38">
        <f>'Подпрограмма 5'!L8</f>
        <v>107230.00494</v>
      </c>
    </row>
    <row r="9" spans="1:13" ht="31.5" x14ac:dyDescent="0.25">
      <c r="A9" s="41">
        <f t="shared" ref="A9:A21" si="1">A8+1</f>
        <v>3</v>
      </c>
      <c r="B9" s="41" t="str">
        <f>'Подпрограмма 5'!B9</f>
        <v>Строительство объекта "Школа на 300 мест в п. Красное"</v>
      </c>
      <c r="C9" s="42">
        <v>41206</v>
      </c>
      <c r="D9" s="42">
        <v>41232</v>
      </c>
      <c r="E9" s="36" t="s">
        <v>272</v>
      </c>
      <c r="F9" s="36" t="s">
        <v>271</v>
      </c>
      <c r="G9" s="36" t="s">
        <v>255</v>
      </c>
      <c r="H9" s="37">
        <v>41988</v>
      </c>
      <c r="I9" s="54">
        <v>433829.43</v>
      </c>
      <c r="J9" s="38"/>
      <c r="K9" s="111">
        <v>412138</v>
      </c>
      <c r="L9" s="39"/>
      <c r="M9" s="38">
        <f>'Подпрограмма 5'!L9</f>
        <v>28168.651959999999</v>
      </c>
    </row>
    <row r="10" spans="1:13" ht="31.5" x14ac:dyDescent="0.25">
      <c r="A10" s="41">
        <f t="shared" si="1"/>
        <v>4</v>
      </c>
      <c r="B10" s="41" t="str">
        <f>'Подпрограмма 5'!B10</f>
        <v>Строительство объекта "Школа на 150 мест в п. Индига"</v>
      </c>
      <c r="C10" s="42">
        <v>41186</v>
      </c>
      <c r="D10" s="42">
        <v>41215</v>
      </c>
      <c r="E10" s="36" t="s">
        <v>256</v>
      </c>
      <c r="F10" s="36" t="s">
        <v>257</v>
      </c>
      <c r="G10" s="36" t="s">
        <v>258</v>
      </c>
      <c r="H10" s="37">
        <v>41971</v>
      </c>
      <c r="I10" s="54">
        <v>441587.9</v>
      </c>
      <c r="J10" s="38"/>
      <c r="K10" s="111">
        <f>230081.4+29205.9+M10</f>
        <v>272357.40158999996</v>
      </c>
      <c r="L10" s="39"/>
      <c r="M10" s="38">
        <f>'Подпрограмма 5'!L10</f>
        <v>13070.10159</v>
      </c>
    </row>
    <row r="11" spans="1:13" ht="47.25" x14ac:dyDescent="0.25">
      <c r="A11" s="41">
        <f t="shared" si="1"/>
        <v>5</v>
      </c>
      <c r="B11" s="41" t="str">
        <f>'Подпрограмма 5'!B11</f>
        <v>Строительство объекта «Школа на 800 мест в п. Искателей» с разработкой ПСД</v>
      </c>
      <c r="C11" s="42">
        <v>41486</v>
      </c>
      <c r="D11" s="42">
        <v>41512</v>
      </c>
      <c r="E11" s="36" t="s">
        <v>320</v>
      </c>
      <c r="F11" s="36" t="s">
        <v>273</v>
      </c>
      <c r="G11" s="61" t="s">
        <v>258</v>
      </c>
      <c r="H11" s="62" t="s">
        <v>274</v>
      </c>
      <c r="I11" s="69">
        <v>4922</v>
      </c>
      <c r="J11" s="38"/>
      <c r="K11" s="111">
        <v>3445.4</v>
      </c>
      <c r="L11" s="39"/>
      <c r="M11" s="38" t="str">
        <f>'Подпрограмма 5'!L11</f>
        <v>-</v>
      </c>
    </row>
    <row r="12" spans="1:13" ht="47.25" x14ac:dyDescent="0.25">
      <c r="A12" s="41">
        <f t="shared" si="1"/>
        <v>6</v>
      </c>
      <c r="B12" s="41" t="str">
        <f>'Подпрограмма 5'!B28</f>
        <v>Приобретение общественной бани в с. Нижняя Пеша МО "Пешский сельсовет" НАО</v>
      </c>
      <c r="C12" s="42"/>
      <c r="D12" s="42"/>
      <c r="E12" s="36"/>
      <c r="F12" s="36" t="s">
        <v>498</v>
      </c>
      <c r="G12" s="176" t="str">
        <f>'Подпрограмма 5'!D28</f>
        <v>Администрация поселения НАО</v>
      </c>
      <c r="H12" s="52">
        <v>2017</v>
      </c>
      <c r="I12" s="54">
        <v>14700</v>
      </c>
      <c r="J12" s="38"/>
      <c r="K12" s="111">
        <f>M12</f>
        <v>14700</v>
      </c>
      <c r="L12" s="39"/>
      <c r="M12" s="38">
        <f>'Подпрограмма 5'!I28</f>
        <v>14700</v>
      </c>
    </row>
    <row r="13" spans="1:13" x14ac:dyDescent="0.25">
      <c r="A13" s="41">
        <f t="shared" si="1"/>
        <v>7</v>
      </c>
      <c r="B13" s="41" t="str">
        <f>'Подпрограмма 5'!B29</f>
        <v>Приобретение бани в д. Белушье</v>
      </c>
      <c r="C13" s="42"/>
      <c r="D13" s="42"/>
      <c r="E13" s="36"/>
      <c r="F13" s="36"/>
      <c r="G13" s="36"/>
      <c r="H13" s="37"/>
      <c r="I13" s="54"/>
      <c r="J13" s="38"/>
      <c r="K13" s="111"/>
      <c r="L13" s="39"/>
      <c r="M13" s="38" t="str">
        <f>'Подпрограмма 5'!I29</f>
        <v>-</v>
      </c>
    </row>
    <row r="14" spans="1:13" ht="47.25" x14ac:dyDescent="0.25">
      <c r="A14" s="41">
        <f t="shared" si="1"/>
        <v>8</v>
      </c>
      <c r="B14" s="41" t="str">
        <f>'Подпрограмма 5'!B30</f>
        <v>Капитальный ремонт общественной бани в п. Выучейский</v>
      </c>
      <c r="C14" s="42">
        <v>42824</v>
      </c>
      <c r="D14" s="42">
        <v>42858</v>
      </c>
      <c r="E14" s="36" t="s">
        <v>321</v>
      </c>
      <c r="F14" s="36" t="s">
        <v>322</v>
      </c>
      <c r="G14" s="36" t="str">
        <f>'Подпрограмма 5'!D30</f>
        <v>Администрация поселения НАО</v>
      </c>
      <c r="H14" s="37">
        <v>43084</v>
      </c>
      <c r="I14" s="54">
        <v>3609.1</v>
      </c>
      <c r="J14" s="38"/>
      <c r="K14" s="111">
        <f t="shared" ref="K14:K33" si="2">M14</f>
        <v>3790.1</v>
      </c>
      <c r="L14" s="39"/>
      <c r="M14" s="38">
        <f>'Подпрограмма 5'!I30</f>
        <v>3790.1</v>
      </c>
    </row>
    <row r="15" spans="1:13" ht="31.5" x14ac:dyDescent="0.25">
      <c r="A15" s="41">
        <f t="shared" si="1"/>
        <v>9</v>
      </c>
      <c r="B15" s="41" t="str">
        <f>'Подпрограмма 5'!B71</f>
        <v>Ремонт пешеходного перехода через протоку в д. Андег</v>
      </c>
      <c r="C15" s="70" t="s">
        <v>357</v>
      </c>
      <c r="D15" s="70" t="s">
        <v>357</v>
      </c>
      <c r="E15" s="36"/>
      <c r="F15" s="36" t="s">
        <v>356</v>
      </c>
      <c r="G15" s="36" t="s">
        <v>40</v>
      </c>
      <c r="H15" s="52">
        <v>2017</v>
      </c>
      <c r="I15" s="54">
        <f>'Подпрограмма 5'!E71</f>
        <v>495.61232999999999</v>
      </c>
      <c r="J15" s="38"/>
      <c r="K15" s="111">
        <f t="shared" si="2"/>
        <v>495.61232999999999</v>
      </c>
      <c r="L15" s="39"/>
      <c r="M15" s="38">
        <f>'Подпрограмма 5'!I71</f>
        <v>495.61232999999999</v>
      </c>
    </row>
    <row r="16" spans="1:13" ht="63" x14ac:dyDescent="0.25">
      <c r="A16" s="41">
        <f t="shared" si="1"/>
        <v>10</v>
      </c>
      <c r="B16" s="41" t="str">
        <f>'Подпрограмма 5'!B72</f>
        <v>Ремонт моста через протоку озера "Захребетное" в п.Красное МО "Приморско-Куйский сельсовет" НАО</v>
      </c>
      <c r="C16" s="70"/>
      <c r="D16" s="70"/>
      <c r="E16" s="36"/>
      <c r="F16" s="36" t="s">
        <v>338</v>
      </c>
      <c r="G16" s="170" t="s">
        <v>40</v>
      </c>
      <c r="H16" s="52">
        <v>2017</v>
      </c>
      <c r="I16" s="54">
        <v>293.3</v>
      </c>
      <c r="J16" s="38"/>
      <c r="K16" s="111">
        <f t="shared" si="2"/>
        <v>293.3</v>
      </c>
      <c r="L16" s="39"/>
      <c r="M16" s="38">
        <f>'Подпрограмма 5'!I72</f>
        <v>293.3</v>
      </c>
    </row>
    <row r="17" spans="1:13" ht="94.5" x14ac:dyDescent="0.25">
      <c r="A17" s="41">
        <f t="shared" si="1"/>
        <v>11</v>
      </c>
      <c r="B17" s="41" t="str">
        <f>'Подпрограмма 5'!B74</f>
        <v>Завершение строительства объекта «Спортивное сооружение с универсальным игровым залом 
в п. Амдерма НАО» с реконструкцией существующих несущих конструкций</v>
      </c>
      <c r="C17" s="42">
        <v>42850</v>
      </c>
      <c r="D17" s="42">
        <v>42885</v>
      </c>
      <c r="E17" s="36" t="s">
        <v>323</v>
      </c>
      <c r="F17" s="36" t="s">
        <v>324</v>
      </c>
      <c r="G17" s="36" t="str">
        <f>'Подпрограмма 5'!D74</f>
        <v>МКУ ЗР "Северное"</v>
      </c>
      <c r="H17" s="37">
        <v>43435</v>
      </c>
      <c r="I17" s="54">
        <v>74153.472999999998</v>
      </c>
      <c r="J17" s="38"/>
      <c r="K17" s="111">
        <f t="shared" si="2"/>
        <v>16782.350459999998</v>
      </c>
      <c r="L17" s="39"/>
      <c r="M17" s="38">
        <f>'Подпрограмма 5'!I74</f>
        <v>16782.350459999998</v>
      </c>
    </row>
    <row r="18" spans="1:13" ht="63" x14ac:dyDescent="0.25">
      <c r="A18" s="41">
        <f t="shared" si="1"/>
        <v>12</v>
      </c>
      <c r="B18" s="175" t="str">
        <f>'Подпрограмма 5'!B75</f>
        <v>Строительный контроль на строящемся объекте «Спортивное сооружение с универсальным игровым залом в п. Амдерма НАО»</v>
      </c>
      <c r="C18" s="42"/>
      <c r="D18" s="42"/>
      <c r="E18" s="36" t="s">
        <v>493</v>
      </c>
      <c r="F18" s="36" t="s">
        <v>488</v>
      </c>
      <c r="G18" s="36" t="str">
        <f>'Подпрограмма 5'!D75</f>
        <v>МКУ ЗР "Северное"</v>
      </c>
      <c r="H18" s="52">
        <v>2017</v>
      </c>
      <c r="I18" s="54"/>
      <c r="J18" s="38"/>
      <c r="K18" s="111">
        <f t="shared" si="2"/>
        <v>53.975490000000001</v>
      </c>
      <c r="L18" s="39"/>
      <c r="M18" s="38">
        <f>'Подпрограмма 5'!I75</f>
        <v>53.975490000000001</v>
      </c>
    </row>
    <row r="19" spans="1:13" ht="47.25" x14ac:dyDescent="0.25">
      <c r="A19" s="41">
        <f t="shared" si="1"/>
        <v>13</v>
      </c>
      <c r="B19" s="175" t="str">
        <f>'Подпрограмма 5'!B77</f>
        <v>Ремонтные работы на объекте «Культурно-досуговое учреждение в п. Выучейский»</v>
      </c>
      <c r="C19" s="42"/>
      <c r="D19" s="42"/>
      <c r="E19" s="36" t="s">
        <v>495</v>
      </c>
      <c r="F19" s="36" t="s">
        <v>494</v>
      </c>
      <c r="G19" s="36" t="str">
        <f>'Подпрограмма 5'!D75</f>
        <v>МКУ ЗР "Северное"</v>
      </c>
      <c r="H19" s="52">
        <v>2017</v>
      </c>
      <c r="I19" s="54">
        <v>97.572000000000003</v>
      </c>
      <c r="J19" s="38"/>
      <c r="K19" s="111">
        <f t="shared" si="2"/>
        <v>97.572000000000003</v>
      </c>
      <c r="L19" s="39"/>
      <c r="M19" s="38">
        <f>'Подпрограмма 5'!I77</f>
        <v>97.572000000000003</v>
      </c>
    </row>
    <row r="20" spans="1:13" ht="47.25" x14ac:dyDescent="0.25">
      <c r="A20" s="41">
        <f t="shared" si="1"/>
        <v>14</v>
      </c>
      <c r="B20" s="175" t="str">
        <f>'Подпрограмма 5'!B78</f>
        <v>Ремонтные работы на объекте "Культурно-досуговое учреждение в п Хорей-Вер"</v>
      </c>
      <c r="C20" s="42"/>
      <c r="D20" s="42"/>
      <c r="E20" s="36" t="s">
        <v>478</v>
      </c>
      <c r="F20" s="36" t="s">
        <v>479</v>
      </c>
      <c r="G20" s="36" t="s">
        <v>3</v>
      </c>
      <c r="H20" s="37">
        <v>43099</v>
      </c>
      <c r="I20" s="54">
        <v>3408.17</v>
      </c>
      <c r="J20" s="38"/>
      <c r="K20" s="111">
        <f t="shared" si="2"/>
        <v>3322.9073699999999</v>
      </c>
      <c r="L20" s="39"/>
      <c r="M20" s="38">
        <f>'Подпрограмма 5'!I78</f>
        <v>3322.9073699999999</v>
      </c>
    </row>
    <row r="21" spans="1:13" ht="47.25" x14ac:dyDescent="0.25">
      <c r="A21" s="41">
        <f t="shared" si="1"/>
        <v>15</v>
      </c>
      <c r="B21" s="175" t="str">
        <f>'Подпрограмма 5'!B79</f>
        <v>Ремонтные работы на объекте "Культурно-досуговое учреждение в д. Вижас"</v>
      </c>
      <c r="C21" s="42"/>
      <c r="D21" s="42"/>
      <c r="E21" s="36"/>
      <c r="F21" s="36"/>
      <c r="G21" s="36" t="str">
        <f>'Подпрограмма 5'!D77</f>
        <v>МКУ ЗР "Северное"</v>
      </c>
      <c r="H21" s="158"/>
      <c r="I21" s="54"/>
      <c r="J21" s="38"/>
      <c r="K21" s="111"/>
      <c r="L21" s="39"/>
      <c r="M21" s="38" t="str">
        <f>'Подпрограмма 5'!I79</f>
        <v>-</v>
      </c>
    </row>
    <row r="22" spans="1:13" ht="63" x14ac:dyDescent="0.25">
      <c r="A22" s="41">
        <f t="shared" ref="A22" si="3">A21+1</f>
        <v>16</v>
      </c>
      <c r="B22" s="175" t="str">
        <f>'Подпрограмма 5'!B80</f>
        <v>Ремонтные работы на объекте "Школа на 110 мест в п. Нижняя Пеша" Ненецкого автономного округа</v>
      </c>
      <c r="C22" s="42"/>
      <c r="D22" s="42"/>
      <c r="E22" s="36"/>
      <c r="F22" s="36"/>
      <c r="G22" s="36" t="s">
        <v>40</v>
      </c>
      <c r="H22" s="158"/>
      <c r="I22" s="54"/>
      <c r="J22" s="38"/>
      <c r="K22" s="111"/>
      <c r="L22" s="39"/>
      <c r="M22" s="38" t="str">
        <f>'Подпрограмма 5'!I80</f>
        <v>-</v>
      </c>
    </row>
    <row r="23" spans="1:13" ht="47.25" x14ac:dyDescent="0.25">
      <c r="A23" s="41">
        <f>A20+1</f>
        <v>15</v>
      </c>
      <c r="B23" s="41" t="str">
        <f>'Подпрограмма 5'!B82</f>
        <v>Приобретение и установка 2-х стел участникам ВОВ в д. Белушье и д. Волонга</v>
      </c>
      <c r="C23" s="42"/>
      <c r="D23" s="42"/>
      <c r="E23" s="36" t="s">
        <v>275</v>
      </c>
      <c r="F23" s="36" t="s">
        <v>276</v>
      </c>
      <c r="G23" s="36" t="str">
        <f>'Подпрограмма 5'!D82</f>
        <v>Администрация поселения НАО</v>
      </c>
      <c r="H23" s="37">
        <v>42439</v>
      </c>
      <c r="I23" s="54">
        <v>140</v>
      </c>
      <c r="J23" s="38"/>
      <c r="K23" s="111">
        <f t="shared" si="2"/>
        <v>200</v>
      </c>
      <c r="L23" s="39"/>
      <c r="M23" s="38">
        <f>'Подпрограмма 5'!I82</f>
        <v>200</v>
      </c>
    </row>
    <row r="24" spans="1:13" ht="63" x14ac:dyDescent="0.25">
      <c r="A24" s="41">
        <f t="shared" ref="A24:A29" si="4">A21+1</f>
        <v>16</v>
      </c>
      <c r="B24" s="41" t="str">
        <f>'Подпрограмма 5'!B84</f>
        <v>Изготовление межевых планов на земельные участки под места захоронения в МО "Пешский сельсовет" НАО</v>
      </c>
      <c r="C24" s="42"/>
      <c r="D24" s="42"/>
      <c r="E24" s="36" t="s">
        <v>380</v>
      </c>
      <c r="F24" s="36" t="s">
        <v>19</v>
      </c>
      <c r="G24" s="36" t="s">
        <v>40</v>
      </c>
      <c r="H24" s="52" t="s">
        <v>381</v>
      </c>
      <c r="I24" s="54"/>
      <c r="J24" s="38"/>
      <c r="K24" s="111">
        <f t="shared" si="2"/>
        <v>135</v>
      </c>
      <c r="L24" s="39"/>
      <c r="M24" s="38">
        <f>'Подпрограмма 5'!I84</f>
        <v>135</v>
      </c>
    </row>
    <row r="25" spans="1:13" ht="63" x14ac:dyDescent="0.25">
      <c r="A25" s="41">
        <f t="shared" si="4"/>
        <v>17</v>
      </c>
      <c r="B25" s="41" t="str">
        <f>'Подпрограмма 5'!B85</f>
        <v>Изготовление межевых планов на земельные участки под питьевые колодцы в МО "Пешский сельсовет" НАО</v>
      </c>
      <c r="C25" s="42"/>
      <c r="D25" s="42"/>
      <c r="E25" s="36" t="s">
        <v>380</v>
      </c>
      <c r="F25" s="36" t="s">
        <v>19</v>
      </c>
      <c r="G25" s="36" t="str">
        <f>'Подпрограмма 5'!D84</f>
        <v>Администрация поселения НАО</v>
      </c>
      <c r="H25" s="52" t="s">
        <v>381</v>
      </c>
      <c r="I25" s="54"/>
      <c r="J25" s="38"/>
      <c r="K25" s="111">
        <f t="shared" si="2"/>
        <v>342.5</v>
      </c>
      <c r="L25" s="39"/>
      <c r="M25" s="38">
        <f>'Подпрограмма 5'!I85</f>
        <v>342.5</v>
      </c>
    </row>
    <row r="26" spans="1:13" ht="63" x14ac:dyDescent="0.25">
      <c r="A26" s="41">
        <f t="shared" si="4"/>
        <v>16</v>
      </c>
      <c r="B26" s="41" t="str">
        <f>'Подпрограмма 5'!B86</f>
        <v>Изготовление межевого плана на земельный участок под размещение кладбища в д. Чижа МО "Канинский сельсовет" НАО</v>
      </c>
      <c r="C26" s="42"/>
      <c r="D26" s="42"/>
      <c r="E26" s="36" t="s">
        <v>380</v>
      </c>
      <c r="F26" s="36" t="s">
        <v>19</v>
      </c>
      <c r="G26" s="36" t="str">
        <f>'Подпрограмма 5'!D85</f>
        <v>Администрация поселения НАО</v>
      </c>
      <c r="H26" s="52" t="s">
        <v>381</v>
      </c>
      <c r="I26" s="54"/>
      <c r="J26" s="38"/>
      <c r="K26" s="111">
        <f t="shared" si="2"/>
        <v>20.399999999999999</v>
      </c>
      <c r="L26" s="39"/>
      <c r="M26" s="38">
        <f>'Подпрограмма 5'!I86</f>
        <v>20.399999999999999</v>
      </c>
    </row>
    <row r="27" spans="1:13" ht="94.5" x14ac:dyDescent="0.25">
      <c r="A27" s="41">
        <f t="shared" si="4"/>
        <v>17</v>
      </c>
      <c r="B27" s="41" t="str">
        <f>'Подпрограмма 5'!B87</f>
        <v>Изготовление межевых планов на 9 земельных участков под объекты жилищно-коммунального хозяйства, находящихся на территории МО "Коткинский сельсовет" НАО</v>
      </c>
      <c r="C27" s="42"/>
      <c r="D27" s="42"/>
      <c r="E27" s="36" t="s">
        <v>380</v>
      </c>
      <c r="F27" s="36" t="s">
        <v>19</v>
      </c>
      <c r="G27" s="36" t="str">
        <f>'Подпрограмма 5'!D86</f>
        <v>Администрация поселения НАО</v>
      </c>
      <c r="H27" s="52" t="s">
        <v>381</v>
      </c>
      <c r="I27" s="54"/>
      <c r="J27" s="38"/>
      <c r="K27" s="111">
        <f t="shared" si="2"/>
        <v>265</v>
      </c>
      <c r="L27" s="39"/>
      <c r="M27" s="38">
        <f>'Подпрограмма 5'!I87</f>
        <v>265</v>
      </c>
    </row>
    <row r="28" spans="1:13" ht="63" x14ac:dyDescent="0.25">
      <c r="A28" s="41">
        <f t="shared" si="4"/>
        <v>18</v>
      </c>
      <c r="B28" s="41" t="str">
        <f>'Подпрограмма 5'!B88</f>
        <v>Изготовление межевых планов на 4 земельных участка, расположенных на территории МО «Шоинский сельсовет» НАО»</v>
      </c>
      <c r="C28" s="42"/>
      <c r="D28" s="42"/>
      <c r="E28" s="36" t="s">
        <v>380</v>
      </c>
      <c r="F28" s="36" t="s">
        <v>19</v>
      </c>
      <c r="G28" s="36" t="s">
        <v>40</v>
      </c>
      <c r="H28" s="52" t="s">
        <v>381</v>
      </c>
      <c r="I28" s="54"/>
      <c r="J28" s="38"/>
      <c r="K28" s="111">
        <f t="shared" si="2"/>
        <v>156.77215999999999</v>
      </c>
      <c r="L28" s="39"/>
      <c r="M28" s="38">
        <f>'Подпрограмма 5'!I88</f>
        <v>156.77215999999999</v>
      </c>
    </row>
    <row r="29" spans="1:13" ht="48.75" customHeight="1" x14ac:dyDescent="0.25">
      <c r="A29" s="41">
        <f t="shared" si="4"/>
        <v>17</v>
      </c>
      <c r="B29" s="175" t="str">
        <f>'Подпрограмма 5'!B89</f>
        <v>Проведение кадастровых работ по формированию земельных участков</v>
      </c>
      <c r="C29" s="42"/>
      <c r="D29" s="42"/>
      <c r="E29" s="36" t="s">
        <v>497</v>
      </c>
      <c r="F29" s="36" t="s">
        <v>496</v>
      </c>
      <c r="G29" s="36" t="s">
        <v>3</v>
      </c>
      <c r="H29" s="52" t="s">
        <v>381</v>
      </c>
      <c r="I29" s="54">
        <v>40</v>
      </c>
      <c r="J29" s="38"/>
      <c r="K29" s="111">
        <f t="shared" si="2"/>
        <v>40</v>
      </c>
      <c r="L29" s="39"/>
      <c r="M29" s="38">
        <f>'Подпрограмма 5'!I89</f>
        <v>40</v>
      </c>
    </row>
    <row r="30" spans="1:13" ht="41.25" customHeight="1" x14ac:dyDescent="0.25">
      <c r="A30" s="41"/>
      <c r="B30" s="177" t="str">
        <f>'Подпрограмма 5'!B90</f>
        <v>Раздел 9. Разработка программ комплексного развития поселений</v>
      </c>
      <c r="C30" s="42"/>
      <c r="D30" s="42"/>
      <c r="E30" s="36"/>
      <c r="F30" s="36"/>
      <c r="G30" s="36"/>
      <c r="H30" s="158"/>
      <c r="I30" s="54"/>
      <c r="J30" s="38"/>
      <c r="K30" s="111"/>
      <c r="L30" s="39"/>
      <c r="M30" s="38" t="str">
        <f>'Подпрограмма 5'!L29</f>
        <v>-</v>
      </c>
    </row>
    <row r="31" spans="1:13" ht="46.5" customHeight="1" x14ac:dyDescent="0.25">
      <c r="A31" s="41">
        <v>17</v>
      </c>
      <c r="B31" s="41" t="str">
        <f>'Подпрограмма 5'!B91</f>
        <v>МО "Юшарский сельсовет" НАО</v>
      </c>
      <c r="C31" s="42"/>
      <c r="D31" s="42"/>
      <c r="E31" s="36" t="s">
        <v>380</v>
      </c>
      <c r="F31" s="36" t="s">
        <v>19</v>
      </c>
      <c r="G31" s="36" t="s">
        <v>40</v>
      </c>
      <c r="H31" s="52" t="s">
        <v>381</v>
      </c>
      <c r="I31" s="54">
        <v>51</v>
      </c>
      <c r="J31" s="38"/>
      <c r="K31" s="111">
        <f>M31</f>
        <v>51</v>
      </c>
      <c r="L31" s="39"/>
      <c r="M31" s="38">
        <f>'Подпрограмма 5'!I91</f>
        <v>51</v>
      </c>
    </row>
    <row r="32" spans="1:13" ht="63" x14ac:dyDescent="0.25">
      <c r="A32" s="41">
        <v>18</v>
      </c>
      <c r="B32" s="41" t="str">
        <f>'Подпрограмма 5'!B93</f>
        <v>Благоустройство дворовой территории по ул. Монтажников, дома 4; 2; 2А; 2Б; 4А; 4Б; 4В; 6В; 6Б; 6А; 6</v>
      </c>
      <c r="C32" s="42"/>
      <c r="D32" s="42"/>
      <c r="E32" s="36" t="s">
        <v>480</v>
      </c>
      <c r="F32" s="36" t="s">
        <v>481</v>
      </c>
      <c r="G32" s="36" t="str">
        <f>'Подпрограмма 5'!D91</f>
        <v>Администрация поселения НАО</v>
      </c>
      <c r="H32" s="64">
        <v>43008</v>
      </c>
      <c r="I32" s="54">
        <v>991.3</v>
      </c>
      <c r="J32" s="38"/>
      <c r="K32" s="111">
        <f t="shared" si="2"/>
        <v>991.26372000000003</v>
      </c>
      <c r="L32" s="39"/>
      <c r="M32" s="38">
        <f>'Подпрограмма 5'!I93</f>
        <v>991.26372000000003</v>
      </c>
    </row>
    <row r="33" spans="1:13" ht="78.75" x14ac:dyDescent="0.25">
      <c r="A33" s="41">
        <v>19</v>
      </c>
      <c r="B33" s="41" t="str">
        <f>'Подпрограмма 5'!B94</f>
        <v xml:space="preserve">Вывоз песка от придомовых территорий по ул. Набережная, д. № 1, д. № 4, ул. Восточная, д. № 2, ул. Заполярная, д. № 4 в п. Шойна МО "Шоинский сельсовет" НАО </v>
      </c>
      <c r="C33" s="42"/>
      <c r="D33" s="42"/>
      <c r="E33" s="36" t="s">
        <v>380</v>
      </c>
      <c r="F33" s="36" t="s">
        <v>490</v>
      </c>
      <c r="G33" s="36" t="s">
        <v>40</v>
      </c>
      <c r="H33" s="52" t="s">
        <v>381</v>
      </c>
      <c r="I33" s="54">
        <v>202.2</v>
      </c>
      <c r="J33" s="38"/>
      <c r="K33" s="111">
        <f t="shared" si="2"/>
        <v>202.16081</v>
      </c>
      <c r="L33" s="39"/>
      <c r="M33" s="38">
        <f>'Подпрограмма 5'!I94</f>
        <v>202.16081</v>
      </c>
    </row>
    <row r="34" spans="1:13" x14ac:dyDescent="0.25">
      <c r="A34" s="196" t="s">
        <v>259</v>
      </c>
      <c r="B34" s="197"/>
      <c r="C34" s="197"/>
      <c r="D34" s="197"/>
      <c r="E34" s="197"/>
      <c r="F34" s="197"/>
      <c r="G34" s="197"/>
      <c r="H34" s="197"/>
      <c r="I34" s="198"/>
      <c r="J34" s="44">
        <f>SUM(J7:J33)</f>
        <v>0</v>
      </c>
      <c r="K34" s="44">
        <f>SUM(K7:K33)</f>
        <v>1116965.2208699996</v>
      </c>
      <c r="L34" s="44">
        <f>SUM(L7:L33)</f>
        <v>0</v>
      </c>
      <c r="M34" s="44">
        <f>SUM(M7:M33)</f>
        <v>195658.97282999996</v>
      </c>
    </row>
  </sheetData>
  <mergeCells count="18">
    <mergeCell ref="A1:M1"/>
    <mergeCell ref="L4:L5"/>
    <mergeCell ref="M4:M5"/>
    <mergeCell ref="A34:I34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  <mergeCell ref="D4:D5"/>
    <mergeCell ref="K4:K5"/>
  </mergeCells>
  <pageMargins left="0.15748031496062992" right="0.15748031496062992" top="0" bottom="0.31496062992125984" header="0.94488188976377963" footer="0.31496062992125984"/>
  <pageSetup paperSize="9" scale="67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U30"/>
  <sheetViews>
    <sheetView view="pageBreakPreview" zoomScale="85" zoomScaleNormal="90" zoomScaleSheetLayoutView="85" workbookViewId="0">
      <pane xSplit="8" ySplit="4" topLeftCell="I20" activePane="bottomRight" state="frozen"/>
      <selection activeCell="C10" sqref="C10"/>
      <selection pane="topRight" activeCell="C10" sqref="C10"/>
      <selection pane="bottomLeft" activeCell="C10" sqref="C10"/>
      <selection pane="bottomRight" activeCell="J13" sqref="J13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6.85546875" style="1" customWidth="1"/>
    <col min="6" max="7" width="16.85546875" style="1" hidden="1" customWidth="1"/>
    <col min="8" max="9" width="16.85546875" style="1" customWidth="1"/>
    <col min="10" max="10" width="14.85546875" style="1" customWidth="1"/>
    <col min="11" max="11" width="16.140625" style="1" hidden="1" customWidth="1"/>
    <col min="12" max="12" width="15.28515625" style="1" hidden="1" customWidth="1"/>
    <col min="13" max="14" width="16.42578125" style="1" customWidth="1"/>
    <col min="15" max="15" width="14" style="1" customWidth="1"/>
    <col min="16" max="16" width="14" style="1" hidden="1" customWidth="1"/>
    <col min="17" max="17" width="13.85546875" style="1" hidden="1" customWidth="1"/>
    <col min="18" max="19" width="18.5703125" style="1" customWidth="1"/>
    <col min="20" max="20" width="27.28515625" style="1" customWidth="1"/>
    <col min="21" max="21" width="26.140625" style="1" customWidth="1"/>
    <col min="22" max="16384" width="9.140625" style="1"/>
  </cols>
  <sheetData>
    <row r="1" spans="1:21" ht="51" customHeight="1" x14ac:dyDescent="0.25">
      <c r="A1" s="206" t="s">
        <v>218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</row>
    <row r="2" spans="1:21" ht="18.75" customHeight="1" x14ac:dyDescent="0.25">
      <c r="A2" s="207" t="s">
        <v>430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8"/>
    </row>
    <row r="3" spans="1:21" s="2" customFormat="1" ht="31.5" customHeight="1" x14ac:dyDescent="0.25">
      <c r="A3" s="178" t="s">
        <v>22</v>
      </c>
      <c r="B3" s="178" t="s">
        <v>20</v>
      </c>
      <c r="C3" s="178" t="s">
        <v>7</v>
      </c>
      <c r="D3" s="178" t="s">
        <v>21</v>
      </c>
      <c r="E3" s="190" t="s">
        <v>51</v>
      </c>
      <c r="F3" s="191"/>
      <c r="G3" s="191"/>
      <c r="H3" s="191"/>
      <c r="I3" s="192"/>
      <c r="J3" s="190" t="s">
        <v>8</v>
      </c>
      <c r="K3" s="191"/>
      <c r="L3" s="191"/>
      <c r="M3" s="191"/>
      <c r="N3" s="192"/>
      <c r="O3" s="190" t="s">
        <v>9</v>
      </c>
      <c r="P3" s="191"/>
      <c r="Q3" s="191"/>
      <c r="R3" s="191"/>
      <c r="S3" s="192"/>
      <c r="T3" s="178" t="s">
        <v>459</v>
      </c>
      <c r="U3" s="178" t="s">
        <v>460</v>
      </c>
    </row>
    <row r="4" spans="1:21" s="2" customFormat="1" ht="47.25" customHeight="1" x14ac:dyDescent="0.25">
      <c r="A4" s="178"/>
      <c r="B4" s="178"/>
      <c r="C4" s="178"/>
      <c r="D4" s="178"/>
      <c r="E4" s="63" t="s">
        <v>1</v>
      </c>
      <c r="F4" s="63" t="s">
        <v>18</v>
      </c>
      <c r="G4" s="63" t="s">
        <v>10</v>
      </c>
      <c r="H4" s="63" t="s">
        <v>11</v>
      </c>
      <c r="I4" s="128" t="s">
        <v>455</v>
      </c>
      <c r="J4" s="63" t="s">
        <v>1</v>
      </c>
      <c r="K4" s="63" t="s">
        <v>18</v>
      </c>
      <c r="L4" s="63" t="s">
        <v>10</v>
      </c>
      <c r="M4" s="63" t="s">
        <v>11</v>
      </c>
      <c r="N4" s="128" t="s">
        <v>455</v>
      </c>
      <c r="O4" s="63" t="s">
        <v>1</v>
      </c>
      <c r="P4" s="63" t="s">
        <v>18</v>
      </c>
      <c r="Q4" s="63" t="s">
        <v>10</v>
      </c>
      <c r="R4" s="63" t="s">
        <v>11</v>
      </c>
      <c r="S4" s="128" t="s">
        <v>455</v>
      </c>
      <c r="T4" s="178"/>
      <c r="U4" s="178"/>
    </row>
    <row r="5" spans="1:21" s="2" customFormat="1" ht="22.5" customHeight="1" x14ac:dyDescent="0.25">
      <c r="A5" s="63">
        <v>1</v>
      </c>
      <c r="B5" s="63">
        <v>2</v>
      </c>
      <c r="C5" s="63">
        <v>3</v>
      </c>
      <c r="D5" s="63">
        <v>4</v>
      </c>
      <c r="E5" s="63">
        <v>5</v>
      </c>
      <c r="F5" s="63"/>
      <c r="G5" s="63"/>
      <c r="H5" s="63">
        <v>6</v>
      </c>
      <c r="I5" s="128">
        <v>7</v>
      </c>
      <c r="J5" s="63">
        <v>8</v>
      </c>
      <c r="K5" s="63"/>
      <c r="L5" s="63"/>
      <c r="M5" s="63">
        <v>9</v>
      </c>
      <c r="N5" s="128">
        <v>10</v>
      </c>
      <c r="O5" s="63">
        <v>11</v>
      </c>
      <c r="P5" s="63"/>
      <c r="Q5" s="63"/>
      <c r="R5" s="63">
        <v>12</v>
      </c>
      <c r="S5" s="128">
        <v>13</v>
      </c>
      <c r="T5" s="63">
        <v>14</v>
      </c>
      <c r="U5" s="63">
        <v>15</v>
      </c>
    </row>
    <row r="6" spans="1:21" s="2" customFormat="1" ht="76.5" customHeight="1" x14ac:dyDescent="0.25">
      <c r="A6" s="94"/>
      <c r="B6" s="203" t="s">
        <v>219</v>
      </c>
      <c r="C6" s="203"/>
      <c r="D6" s="203"/>
      <c r="E6" s="112">
        <f>SUM(E7:E23)</f>
        <v>5807.1</v>
      </c>
      <c r="F6" s="112">
        <f t="shared" ref="F6:R6" si="0">SUM(F7:F23)</f>
        <v>0</v>
      </c>
      <c r="G6" s="112">
        <f t="shared" si="0"/>
        <v>0</v>
      </c>
      <c r="H6" s="112">
        <f t="shared" si="0"/>
        <v>5807.1</v>
      </c>
      <c r="I6" s="112">
        <f t="shared" si="0"/>
        <v>0</v>
      </c>
      <c r="J6" s="112">
        <f t="shared" si="0"/>
        <v>5792.97606</v>
      </c>
      <c r="K6" s="112">
        <f t="shared" si="0"/>
        <v>0</v>
      </c>
      <c r="L6" s="112">
        <f t="shared" si="0"/>
        <v>0</v>
      </c>
      <c r="M6" s="112">
        <f t="shared" si="0"/>
        <v>5792.97606</v>
      </c>
      <c r="N6" s="112">
        <v>0</v>
      </c>
      <c r="O6" s="112">
        <f t="shared" si="0"/>
        <v>5793</v>
      </c>
      <c r="P6" s="112">
        <f t="shared" si="0"/>
        <v>0</v>
      </c>
      <c r="Q6" s="112">
        <f t="shared" si="0"/>
        <v>0</v>
      </c>
      <c r="R6" s="112">
        <f t="shared" si="0"/>
        <v>5793</v>
      </c>
      <c r="S6" s="112">
        <v>0</v>
      </c>
      <c r="T6" s="80">
        <f>J6/E6</f>
        <v>0.99756781526062921</v>
      </c>
      <c r="U6" s="80">
        <f>O6/E6</f>
        <v>0.99757193780027886</v>
      </c>
    </row>
    <row r="7" spans="1:21" s="2" customFormat="1" ht="33" x14ac:dyDescent="0.25">
      <c r="A7" s="76" t="s">
        <v>12</v>
      </c>
      <c r="B7" s="97" t="s">
        <v>103</v>
      </c>
      <c r="C7" s="83" t="s">
        <v>77</v>
      </c>
      <c r="D7" s="78" t="s">
        <v>40</v>
      </c>
      <c r="E7" s="88">
        <f t="shared" ref="E7:E22" si="1">H7</f>
        <v>55.4</v>
      </c>
      <c r="F7" s="88"/>
      <c r="G7" s="88"/>
      <c r="H7" s="113">
        <v>55.4</v>
      </c>
      <c r="I7" s="88">
        <f t="shared" ref="I7:J22" si="2">L7</f>
        <v>0</v>
      </c>
      <c r="J7" s="88">
        <f t="shared" ref="J7:J13" si="3">M7</f>
        <v>51.278500000000001</v>
      </c>
      <c r="K7" s="88"/>
      <c r="L7" s="88"/>
      <c r="M7" s="88">
        <v>51.278500000000001</v>
      </c>
      <c r="N7" s="88">
        <v>0</v>
      </c>
      <c r="O7" s="88">
        <f t="shared" ref="O7:O13" si="4">R7</f>
        <v>51.3</v>
      </c>
      <c r="P7" s="88"/>
      <c r="Q7" s="88"/>
      <c r="R7" s="88">
        <v>51.3</v>
      </c>
      <c r="S7" s="88">
        <v>0</v>
      </c>
      <c r="T7" s="79">
        <f>J7/E7</f>
        <v>0.9256046931407943</v>
      </c>
      <c r="U7" s="79">
        <f>O7/E7</f>
        <v>0.92599277978339345</v>
      </c>
    </row>
    <row r="8" spans="1:21" s="2" customFormat="1" ht="33" x14ac:dyDescent="0.25">
      <c r="A8" s="76" t="s">
        <v>13</v>
      </c>
      <c r="B8" s="100" t="s">
        <v>64</v>
      </c>
      <c r="C8" s="83" t="s">
        <v>77</v>
      </c>
      <c r="D8" s="78" t="s">
        <v>40</v>
      </c>
      <c r="E8" s="88">
        <f t="shared" ref="E8:E13" si="5">H8</f>
        <v>320</v>
      </c>
      <c r="F8" s="88"/>
      <c r="G8" s="88"/>
      <c r="H8" s="113">
        <v>320</v>
      </c>
      <c r="I8" s="88">
        <f t="shared" ref="I8:I13" si="6">L8</f>
        <v>0</v>
      </c>
      <c r="J8" s="88">
        <f t="shared" si="3"/>
        <v>319.97807999999998</v>
      </c>
      <c r="K8" s="88"/>
      <c r="L8" s="88"/>
      <c r="M8" s="88">
        <v>319.97807999999998</v>
      </c>
      <c r="N8" s="88">
        <v>0</v>
      </c>
      <c r="O8" s="88">
        <f t="shared" si="4"/>
        <v>320</v>
      </c>
      <c r="P8" s="88"/>
      <c r="Q8" s="88"/>
      <c r="R8" s="88">
        <v>320</v>
      </c>
      <c r="S8" s="88">
        <v>0</v>
      </c>
      <c r="T8" s="79">
        <f t="shared" ref="T8:T29" si="7">J8/E8</f>
        <v>0.99993149999999997</v>
      </c>
      <c r="U8" s="79">
        <f t="shared" ref="U8:U30" si="8">O8/E8</f>
        <v>1</v>
      </c>
    </row>
    <row r="9" spans="1:21" s="2" customFormat="1" ht="33" x14ac:dyDescent="0.25">
      <c r="A9" s="76" t="s">
        <v>14</v>
      </c>
      <c r="B9" s="100" t="s">
        <v>65</v>
      </c>
      <c r="C9" s="83" t="s">
        <v>77</v>
      </c>
      <c r="D9" s="78" t="s">
        <v>40</v>
      </c>
      <c r="E9" s="88">
        <f t="shared" si="5"/>
        <v>470.6</v>
      </c>
      <c r="F9" s="88"/>
      <c r="G9" s="88"/>
      <c r="H9" s="113">
        <v>470.6</v>
      </c>
      <c r="I9" s="88">
        <f t="shared" si="6"/>
        <v>0</v>
      </c>
      <c r="J9" s="88">
        <f t="shared" si="3"/>
        <v>470.59151000000003</v>
      </c>
      <c r="K9" s="88"/>
      <c r="L9" s="88"/>
      <c r="M9" s="88">
        <v>470.59151000000003</v>
      </c>
      <c r="N9" s="88">
        <v>0</v>
      </c>
      <c r="O9" s="88">
        <f t="shared" si="4"/>
        <v>470.6</v>
      </c>
      <c r="P9" s="88"/>
      <c r="Q9" s="88"/>
      <c r="R9" s="88">
        <v>470.6</v>
      </c>
      <c r="S9" s="88">
        <v>0</v>
      </c>
      <c r="T9" s="79">
        <f t="shared" si="7"/>
        <v>0.99998195920101995</v>
      </c>
      <c r="U9" s="79">
        <f t="shared" si="8"/>
        <v>1</v>
      </c>
    </row>
    <row r="10" spans="1:21" s="2" customFormat="1" ht="33" x14ac:dyDescent="0.25">
      <c r="A10" s="76" t="s">
        <v>15</v>
      </c>
      <c r="B10" s="97" t="s">
        <v>66</v>
      </c>
      <c r="C10" s="83" t="s">
        <v>77</v>
      </c>
      <c r="D10" s="78" t="s">
        <v>40</v>
      </c>
      <c r="E10" s="88">
        <f t="shared" si="5"/>
        <v>167.7</v>
      </c>
      <c r="F10" s="88"/>
      <c r="G10" s="88"/>
      <c r="H10" s="113">
        <v>167.7</v>
      </c>
      <c r="I10" s="88">
        <f t="shared" si="6"/>
        <v>0</v>
      </c>
      <c r="J10" s="88">
        <f t="shared" si="3"/>
        <v>167.7</v>
      </c>
      <c r="K10" s="88"/>
      <c r="L10" s="88"/>
      <c r="M10" s="88">
        <v>167.7</v>
      </c>
      <c r="N10" s="88">
        <v>0</v>
      </c>
      <c r="O10" s="88">
        <f t="shared" si="4"/>
        <v>167.7</v>
      </c>
      <c r="P10" s="88"/>
      <c r="Q10" s="88"/>
      <c r="R10" s="88">
        <v>167.7</v>
      </c>
      <c r="S10" s="88">
        <v>0</v>
      </c>
      <c r="T10" s="79">
        <f t="shared" si="7"/>
        <v>1</v>
      </c>
      <c r="U10" s="79">
        <f t="shared" si="8"/>
        <v>1</v>
      </c>
    </row>
    <row r="11" spans="1:21" s="2" customFormat="1" ht="33" x14ac:dyDescent="0.25">
      <c r="A11" s="76" t="s">
        <v>16</v>
      </c>
      <c r="B11" s="100" t="s">
        <v>80</v>
      </c>
      <c r="C11" s="83" t="s">
        <v>77</v>
      </c>
      <c r="D11" s="78" t="s">
        <v>40</v>
      </c>
      <c r="E11" s="88">
        <f t="shared" si="5"/>
        <v>0</v>
      </c>
      <c r="F11" s="88"/>
      <c r="G11" s="88"/>
      <c r="H11" s="88">
        <f>K11</f>
        <v>0</v>
      </c>
      <c r="I11" s="88">
        <f t="shared" si="6"/>
        <v>0</v>
      </c>
      <c r="J11" s="88" t="str">
        <f t="shared" si="3"/>
        <v>-</v>
      </c>
      <c r="K11" s="88"/>
      <c r="L11" s="88"/>
      <c r="M11" s="88" t="s">
        <v>19</v>
      </c>
      <c r="N11" s="88">
        <v>0</v>
      </c>
      <c r="O11" s="88" t="str">
        <f t="shared" si="4"/>
        <v>-</v>
      </c>
      <c r="P11" s="88"/>
      <c r="Q11" s="88"/>
      <c r="R11" s="88" t="s">
        <v>19</v>
      </c>
      <c r="S11" s="88">
        <v>0</v>
      </c>
      <c r="T11" s="79"/>
      <c r="U11" s="79" t="e">
        <f t="shared" si="8"/>
        <v>#VALUE!</v>
      </c>
    </row>
    <row r="12" spans="1:21" s="2" customFormat="1" ht="33" x14ac:dyDescent="0.25">
      <c r="A12" s="76" t="s">
        <v>41</v>
      </c>
      <c r="B12" s="97" t="s">
        <v>68</v>
      </c>
      <c r="C12" s="83" t="s">
        <v>77</v>
      </c>
      <c r="D12" s="78" t="s">
        <v>40</v>
      </c>
      <c r="E12" s="88">
        <f t="shared" si="5"/>
        <v>252.9</v>
      </c>
      <c r="F12" s="88"/>
      <c r="G12" s="88"/>
      <c r="H12" s="113">
        <v>252.9</v>
      </c>
      <c r="I12" s="88">
        <f t="shared" si="6"/>
        <v>0</v>
      </c>
      <c r="J12" s="88">
        <f t="shared" si="3"/>
        <v>252.9</v>
      </c>
      <c r="K12" s="88"/>
      <c r="L12" s="88"/>
      <c r="M12" s="88">
        <v>252.9</v>
      </c>
      <c r="N12" s="88">
        <v>0</v>
      </c>
      <c r="O12" s="88">
        <f t="shared" si="4"/>
        <v>252.9</v>
      </c>
      <c r="P12" s="88"/>
      <c r="Q12" s="88"/>
      <c r="R12" s="88">
        <v>252.9</v>
      </c>
      <c r="S12" s="88">
        <v>0</v>
      </c>
      <c r="T12" s="79">
        <f t="shared" si="7"/>
        <v>1</v>
      </c>
      <c r="U12" s="79">
        <f t="shared" si="8"/>
        <v>1</v>
      </c>
    </row>
    <row r="13" spans="1:21" s="2" customFormat="1" ht="33" x14ac:dyDescent="0.25">
      <c r="A13" s="76" t="s">
        <v>17</v>
      </c>
      <c r="B13" s="97" t="s">
        <v>69</v>
      </c>
      <c r="C13" s="83" t="s">
        <v>77</v>
      </c>
      <c r="D13" s="78" t="s">
        <v>40</v>
      </c>
      <c r="E13" s="88">
        <f t="shared" si="5"/>
        <v>252.9</v>
      </c>
      <c r="F13" s="88"/>
      <c r="G13" s="88"/>
      <c r="H13" s="113">
        <v>252.9</v>
      </c>
      <c r="I13" s="88">
        <f t="shared" si="6"/>
        <v>0</v>
      </c>
      <c r="J13" s="88">
        <f t="shared" si="3"/>
        <v>252.9</v>
      </c>
      <c r="K13" s="88"/>
      <c r="L13" s="88"/>
      <c r="M13" s="88">
        <v>252.9</v>
      </c>
      <c r="N13" s="88">
        <v>0</v>
      </c>
      <c r="O13" s="88">
        <f t="shared" si="4"/>
        <v>252.9</v>
      </c>
      <c r="P13" s="88"/>
      <c r="Q13" s="88"/>
      <c r="R13" s="88">
        <v>252.9</v>
      </c>
      <c r="S13" s="88">
        <v>0</v>
      </c>
      <c r="T13" s="79">
        <f t="shared" si="7"/>
        <v>1</v>
      </c>
      <c r="U13" s="79">
        <f t="shared" si="8"/>
        <v>1</v>
      </c>
    </row>
    <row r="14" spans="1:21" s="2" customFormat="1" ht="33" x14ac:dyDescent="0.25">
      <c r="A14" s="76" t="s">
        <v>42</v>
      </c>
      <c r="B14" s="97" t="s">
        <v>70</v>
      </c>
      <c r="C14" s="83" t="s">
        <v>77</v>
      </c>
      <c r="D14" s="78" t="s">
        <v>40</v>
      </c>
      <c r="E14" s="88">
        <f t="shared" si="1"/>
        <v>274.7</v>
      </c>
      <c r="F14" s="88"/>
      <c r="G14" s="88"/>
      <c r="H14" s="113">
        <v>274.7</v>
      </c>
      <c r="I14" s="88">
        <f t="shared" si="2"/>
        <v>0</v>
      </c>
      <c r="J14" s="88">
        <f t="shared" si="2"/>
        <v>274.7</v>
      </c>
      <c r="K14" s="88"/>
      <c r="L14" s="88"/>
      <c r="M14" s="88">
        <v>274.7</v>
      </c>
      <c r="N14" s="88">
        <v>0</v>
      </c>
      <c r="O14" s="88">
        <f t="shared" ref="O14:O22" si="9">R14</f>
        <v>274.7</v>
      </c>
      <c r="P14" s="88"/>
      <c r="Q14" s="88"/>
      <c r="R14" s="88">
        <v>274.7</v>
      </c>
      <c r="S14" s="88">
        <v>0</v>
      </c>
      <c r="T14" s="79">
        <f t="shared" si="7"/>
        <v>1</v>
      </c>
      <c r="U14" s="79">
        <f t="shared" si="8"/>
        <v>1</v>
      </c>
    </row>
    <row r="15" spans="1:21" s="2" customFormat="1" ht="33" x14ac:dyDescent="0.25">
      <c r="A15" s="76" t="s">
        <v>43</v>
      </c>
      <c r="B15" s="97" t="s">
        <v>82</v>
      </c>
      <c r="C15" s="83" t="s">
        <v>77</v>
      </c>
      <c r="D15" s="78" t="s">
        <v>40</v>
      </c>
      <c r="E15" s="88">
        <f t="shared" si="1"/>
        <v>494.7</v>
      </c>
      <c r="F15" s="88"/>
      <c r="G15" s="88"/>
      <c r="H15" s="113">
        <v>494.7</v>
      </c>
      <c r="I15" s="88">
        <f t="shared" si="2"/>
        <v>0</v>
      </c>
      <c r="J15" s="88">
        <f t="shared" si="2"/>
        <v>491.2</v>
      </c>
      <c r="K15" s="88"/>
      <c r="L15" s="88"/>
      <c r="M15" s="88">
        <v>491.2</v>
      </c>
      <c r="N15" s="88">
        <v>0</v>
      </c>
      <c r="O15" s="88">
        <f t="shared" si="9"/>
        <v>491.2</v>
      </c>
      <c r="P15" s="88"/>
      <c r="Q15" s="88"/>
      <c r="R15" s="88">
        <v>491.2</v>
      </c>
      <c r="S15" s="88">
        <v>0</v>
      </c>
      <c r="T15" s="79">
        <f t="shared" si="7"/>
        <v>0.99292500505356784</v>
      </c>
      <c r="U15" s="79">
        <f t="shared" si="8"/>
        <v>0.99292500505356784</v>
      </c>
    </row>
    <row r="16" spans="1:21" s="2" customFormat="1" ht="33" x14ac:dyDescent="0.25">
      <c r="A16" s="76" t="s">
        <v>44</v>
      </c>
      <c r="B16" s="97" t="s">
        <v>71</v>
      </c>
      <c r="C16" s="83" t="s">
        <v>77</v>
      </c>
      <c r="D16" s="78" t="s">
        <v>40</v>
      </c>
      <c r="E16" s="88">
        <f t="shared" si="1"/>
        <v>189.6</v>
      </c>
      <c r="F16" s="88"/>
      <c r="G16" s="88"/>
      <c r="H16" s="113">
        <v>189.6</v>
      </c>
      <c r="I16" s="88">
        <f t="shared" si="2"/>
        <v>0</v>
      </c>
      <c r="J16" s="88">
        <f t="shared" si="2"/>
        <v>189.10751999999999</v>
      </c>
      <c r="K16" s="88"/>
      <c r="L16" s="88"/>
      <c r="M16" s="88">
        <v>189.10751999999999</v>
      </c>
      <c r="N16" s="88">
        <v>0</v>
      </c>
      <c r="O16" s="88">
        <f t="shared" si="9"/>
        <v>189.1</v>
      </c>
      <c r="P16" s="88"/>
      <c r="Q16" s="88"/>
      <c r="R16" s="88">
        <v>189.1</v>
      </c>
      <c r="S16" s="88">
        <v>0</v>
      </c>
      <c r="T16" s="79">
        <f t="shared" si="7"/>
        <v>0.99740253164556958</v>
      </c>
      <c r="U16" s="79">
        <f t="shared" si="8"/>
        <v>0.99736286919831219</v>
      </c>
    </row>
    <row r="17" spans="1:21" s="2" customFormat="1" ht="33" x14ac:dyDescent="0.25">
      <c r="A17" s="76" t="s">
        <v>45</v>
      </c>
      <c r="B17" s="97" t="s">
        <v>104</v>
      </c>
      <c r="C17" s="83" t="s">
        <v>77</v>
      </c>
      <c r="D17" s="78" t="s">
        <v>40</v>
      </c>
      <c r="E17" s="88">
        <f t="shared" si="1"/>
        <v>183.3</v>
      </c>
      <c r="F17" s="88"/>
      <c r="G17" s="88"/>
      <c r="H17" s="113">
        <v>183.3</v>
      </c>
      <c r="I17" s="88">
        <f t="shared" si="2"/>
        <v>0</v>
      </c>
      <c r="J17" s="88">
        <f t="shared" si="2"/>
        <v>183.3</v>
      </c>
      <c r="K17" s="88"/>
      <c r="L17" s="88"/>
      <c r="M17" s="88">
        <v>183.3</v>
      </c>
      <c r="N17" s="88">
        <v>0</v>
      </c>
      <c r="O17" s="88">
        <f t="shared" si="9"/>
        <v>183.3</v>
      </c>
      <c r="P17" s="88"/>
      <c r="Q17" s="88"/>
      <c r="R17" s="88">
        <v>183.3</v>
      </c>
      <c r="S17" s="88">
        <v>0</v>
      </c>
      <c r="T17" s="79">
        <f t="shared" si="7"/>
        <v>1</v>
      </c>
      <c r="U17" s="79">
        <f t="shared" si="8"/>
        <v>1</v>
      </c>
    </row>
    <row r="18" spans="1:21" s="2" customFormat="1" ht="33" x14ac:dyDescent="0.25">
      <c r="A18" s="76" t="s">
        <v>46</v>
      </c>
      <c r="B18" s="97" t="s">
        <v>72</v>
      </c>
      <c r="C18" s="83" t="s">
        <v>77</v>
      </c>
      <c r="D18" s="78" t="s">
        <v>40</v>
      </c>
      <c r="E18" s="88">
        <f t="shared" si="1"/>
        <v>235.8</v>
      </c>
      <c r="F18" s="88"/>
      <c r="G18" s="88"/>
      <c r="H18" s="113">
        <v>235.8</v>
      </c>
      <c r="I18" s="88">
        <f t="shared" si="2"/>
        <v>0</v>
      </c>
      <c r="J18" s="88">
        <f t="shared" si="2"/>
        <v>235.8</v>
      </c>
      <c r="K18" s="88"/>
      <c r="L18" s="88"/>
      <c r="M18" s="88">
        <v>235.8</v>
      </c>
      <c r="N18" s="88">
        <v>0</v>
      </c>
      <c r="O18" s="88">
        <f t="shared" si="9"/>
        <v>235.8</v>
      </c>
      <c r="P18" s="88"/>
      <c r="Q18" s="88"/>
      <c r="R18" s="88">
        <v>235.8</v>
      </c>
      <c r="S18" s="88">
        <v>0</v>
      </c>
      <c r="T18" s="79">
        <f t="shared" si="7"/>
        <v>1</v>
      </c>
      <c r="U18" s="79">
        <f t="shared" si="8"/>
        <v>1</v>
      </c>
    </row>
    <row r="19" spans="1:21" s="2" customFormat="1" ht="33" x14ac:dyDescent="0.25">
      <c r="A19" s="76" t="s">
        <v>47</v>
      </c>
      <c r="B19" s="97" t="s">
        <v>73</v>
      </c>
      <c r="C19" s="83" t="s">
        <v>77</v>
      </c>
      <c r="D19" s="78" t="s">
        <v>40</v>
      </c>
      <c r="E19" s="88">
        <f t="shared" si="1"/>
        <v>204.1</v>
      </c>
      <c r="F19" s="88"/>
      <c r="G19" s="88"/>
      <c r="H19" s="113">
        <v>204.1</v>
      </c>
      <c r="I19" s="88">
        <f t="shared" si="2"/>
        <v>0</v>
      </c>
      <c r="J19" s="88">
        <f t="shared" si="2"/>
        <v>198.12045000000001</v>
      </c>
      <c r="K19" s="88"/>
      <c r="L19" s="88"/>
      <c r="M19" s="88">
        <v>198.12045000000001</v>
      </c>
      <c r="N19" s="88">
        <v>0</v>
      </c>
      <c r="O19" s="88">
        <f t="shared" si="9"/>
        <v>198.1</v>
      </c>
      <c r="P19" s="88"/>
      <c r="Q19" s="88"/>
      <c r="R19" s="88">
        <v>198.1</v>
      </c>
      <c r="S19" s="88">
        <v>0</v>
      </c>
      <c r="T19" s="79">
        <f t="shared" si="7"/>
        <v>0.97070284174424304</v>
      </c>
      <c r="U19" s="79">
        <f t="shared" si="8"/>
        <v>0.97060264576188138</v>
      </c>
    </row>
    <row r="20" spans="1:21" s="2" customFormat="1" ht="33" x14ac:dyDescent="0.25">
      <c r="A20" s="76" t="s">
        <v>48</v>
      </c>
      <c r="B20" s="97" t="s">
        <v>74</v>
      </c>
      <c r="C20" s="83" t="s">
        <v>77</v>
      </c>
      <c r="D20" s="78" t="s">
        <v>40</v>
      </c>
      <c r="E20" s="88">
        <f t="shared" si="1"/>
        <v>142.1</v>
      </c>
      <c r="F20" s="88"/>
      <c r="G20" s="88"/>
      <c r="H20" s="113">
        <v>142.1</v>
      </c>
      <c r="I20" s="88">
        <f t="shared" si="2"/>
        <v>0</v>
      </c>
      <c r="J20" s="88">
        <f t="shared" si="2"/>
        <v>142.1</v>
      </c>
      <c r="K20" s="88"/>
      <c r="L20" s="88"/>
      <c r="M20" s="88">
        <v>142.1</v>
      </c>
      <c r="N20" s="88">
        <v>0</v>
      </c>
      <c r="O20" s="88">
        <f t="shared" si="9"/>
        <v>142.1</v>
      </c>
      <c r="P20" s="88"/>
      <c r="Q20" s="88"/>
      <c r="R20" s="88">
        <v>142.1</v>
      </c>
      <c r="S20" s="88">
        <v>0</v>
      </c>
      <c r="T20" s="79">
        <f t="shared" si="7"/>
        <v>1</v>
      </c>
      <c r="U20" s="79">
        <f t="shared" si="8"/>
        <v>1</v>
      </c>
    </row>
    <row r="21" spans="1:21" s="2" customFormat="1" ht="33" x14ac:dyDescent="0.25">
      <c r="A21" s="76" t="s">
        <v>49</v>
      </c>
      <c r="B21" s="97" t="s">
        <v>75</v>
      </c>
      <c r="C21" s="83" t="s">
        <v>77</v>
      </c>
      <c r="D21" s="78" t="s">
        <v>40</v>
      </c>
      <c r="E21" s="88">
        <f t="shared" si="1"/>
        <v>101.9</v>
      </c>
      <c r="F21" s="88"/>
      <c r="G21" s="88"/>
      <c r="H21" s="113">
        <v>101.9</v>
      </c>
      <c r="I21" s="88">
        <f t="shared" si="2"/>
        <v>0</v>
      </c>
      <c r="J21" s="88">
        <f t="shared" si="2"/>
        <v>101.9</v>
      </c>
      <c r="K21" s="88"/>
      <c r="L21" s="88"/>
      <c r="M21" s="88">
        <v>101.9</v>
      </c>
      <c r="N21" s="88">
        <v>0</v>
      </c>
      <c r="O21" s="88">
        <f t="shared" si="9"/>
        <v>101.9</v>
      </c>
      <c r="P21" s="88"/>
      <c r="Q21" s="88"/>
      <c r="R21" s="88">
        <v>101.9</v>
      </c>
      <c r="S21" s="88">
        <v>0</v>
      </c>
      <c r="T21" s="79">
        <f t="shared" si="7"/>
        <v>1</v>
      </c>
      <c r="U21" s="79">
        <f t="shared" si="8"/>
        <v>1</v>
      </c>
    </row>
    <row r="22" spans="1:21" s="2" customFormat="1" ht="33" x14ac:dyDescent="0.25">
      <c r="A22" s="76" t="s">
        <v>50</v>
      </c>
      <c r="B22" s="97" t="s">
        <v>76</v>
      </c>
      <c r="C22" s="83" t="s">
        <v>77</v>
      </c>
      <c r="D22" s="78" t="s">
        <v>40</v>
      </c>
      <c r="E22" s="88">
        <f t="shared" si="1"/>
        <v>181.7</v>
      </c>
      <c r="F22" s="88"/>
      <c r="G22" s="88"/>
      <c r="H22" s="113">
        <v>181.7</v>
      </c>
      <c r="I22" s="88">
        <f t="shared" si="2"/>
        <v>0</v>
      </c>
      <c r="J22" s="88">
        <f t="shared" si="2"/>
        <v>181.7</v>
      </c>
      <c r="K22" s="88"/>
      <c r="L22" s="88"/>
      <c r="M22" s="88">
        <v>181.7</v>
      </c>
      <c r="N22" s="88">
        <v>0</v>
      </c>
      <c r="O22" s="88">
        <f t="shared" si="9"/>
        <v>181.7</v>
      </c>
      <c r="P22" s="88"/>
      <c r="Q22" s="88"/>
      <c r="R22" s="88">
        <v>181.7</v>
      </c>
      <c r="S22" s="88">
        <v>0</v>
      </c>
      <c r="T22" s="79">
        <f t="shared" si="7"/>
        <v>1</v>
      </c>
      <c r="U22" s="79">
        <f t="shared" si="8"/>
        <v>1</v>
      </c>
    </row>
    <row r="23" spans="1:21" s="2" customFormat="1" ht="33" x14ac:dyDescent="0.25">
      <c r="A23" s="76" t="s">
        <v>120</v>
      </c>
      <c r="B23" s="97" t="s">
        <v>144</v>
      </c>
      <c r="C23" s="83" t="s">
        <v>77</v>
      </c>
      <c r="D23" s="78" t="s">
        <v>40</v>
      </c>
      <c r="E23" s="88">
        <f>H23</f>
        <v>2279.6999999999998</v>
      </c>
      <c r="F23" s="88"/>
      <c r="G23" s="88"/>
      <c r="H23" s="113">
        <v>2279.6999999999998</v>
      </c>
      <c r="I23" s="88">
        <f>L23</f>
        <v>0</v>
      </c>
      <c r="J23" s="88">
        <f>M23</f>
        <v>2279.6999999999998</v>
      </c>
      <c r="K23" s="88"/>
      <c r="L23" s="88"/>
      <c r="M23" s="88">
        <v>2279.6999999999998</v>
      </c>
      <c r="N23" s="88">
        <v>0</v>
      </c>
      <c r="O23" s="88">
        <f>R23</f>
        <v>2279.6999999999998</v>
      </c>
      <c r="P23" s="88"/>
      <c r="Q23" s="88"/>
      <c r="R23" s="88">
        <v>2279.6999999999998</v>
      </c>
      <c r="S23" s="88">
        <v>0</v>
      </c>
      <c r="T23" s="79">
        <f t="shared" si="7"/>
        <v>1</v>
      </c>
      <c r="U23" s="79">
        <f t="shared" si="8"/>
        <v>1</v>
      </c>
    </row>
    <row r="24" spans="1:21" s="2" customFormat="1" ht="31.5" customHeight="1" x14ac:dyDescent="0.25">
      <c r="A24" s="76"/>
      <c r="B24" s="203" t="s">
        <v>220</v>
      </c>
      <c r="C24" s="203"/>
      <c r="D24" s="203"/>
      <c r="E24" s="112">
        <f t="shared" ref="E24:E28" si="10">H24</f>
        <v>1380.4</v>
      </c>
      <c r="F24" s="112">
        <v>0</v>
      </c>
      <c r="G24" s="112">
        <v>0</v>
      </c>
      <c r="H24" s="112">
        <f>SUM(H25:H26)</f>
        <v>1380.4</v>
      </c>
      <c r="I24" s="112">
        <f t="shared" ref="I24:I28" si="11">L24</f>
        <v>0</v>
      </c>
      <c r="J24" s="112">
        <f>M24</f>
        <v>1380.4</v>
      </c>
      <c r="K24" s="112">
        <f>SUM(K25:K25)</f>
        <v>0</v>
      </c>
      <c r="L24" s="112">
        <f>SUM(L25:L25)</f>
        <v>0</v>
      </c>
      <c r="M24" s="112">
        <f>SUM(M25:M26)</f>
        <v>1380.4</v>
      </c>
      <c r="N24" s="112">
        <v>0</v>
      </c>
      <c r="O24" s="112">
        <f>R24</f>
        <v>1380.4</v>
      </c>
      <c r="P24" s="112">
        <f>SUM(P25:P25)</f>
        <v>0</v>
      </c>
      <c r="Q24" s="112">
        <f>SUM(Q25:Q25)</f>
        <v>0</v>
      </c>
      <c r="R24" s="112">
        <f>SUM(R25:R26)</f>
        <v>1380.4</v>
      </c>
      <c r="S24" s="112">
        <v>0</v>
      </c>
      <c r="T24" s="79">
        <f t="shared" si="7"/>
        <v>1</v>
      </c>
      <c r="U24" s="79">
        <f t="shared" si="8"/>
        <v>1</v>
      </c>
    </row>
    <row r="25" spans="1:21" s="2" customFormat="1" ht="42" customHeight="1" x14ac:dyDescent="0.25">
      <c r="A25" s="76" t="s">
        <v>58</v>
      </c>
      <c r="B25" s="101" t="s">
        <v>72</v>
      </c>
      <c r="C25" s="83" t="s">
        <v>77</v>
      </c>
      <c r="D25" s="78" t="s">
        <v>40</v>
      </c>
      <c r="E25" s="88">
        <f t="shared" si="10"/>
        <v>840.7</v>
      </c>
      <c r="F25" s="88"/>
      <c r="G25" s="88"/>
      <c r="H25" s="88">
        <v>840.7</v>
      </c>
      <c r="I25" s="88">
        <f t="shared" si="11"/>
        <v>0</v>
      </c>
      <c r="J25" s="88">
        <f>M25</f>
        <v>840.7</v>
      </c>
      <c r="K25" s="88"/>
      <c r="L25" s="88"/>
      <c r="M25" s="88">
        <v>840.7</v>
      </c>
      <c r="N25" s="88">
        <v>0</v>
      </c>
      <c r="O25" s="88">
        <f>R25</f>
        <v>840.7</v>
      </c>
      <c r="P25" s="88"/>
      <c r="Q25" s="88"/>
      <c r="R25" s="88">
        <v>840.7</v>
      </c>
      <c r="S25" s="88">
        <v>0</v>
      </c>
      <c r="T25" s="79">
        <f t="shared" si="7"/>
        <v>1</v>
      </c>
      <c r="U25" s="79">
        <f t="shared" si="8"/>
        <v>1</v>
      </c>
    </row>
    <row r="26" spans="1:21" s="2" customFormat="1" ht="42" customHeight="1" x14ac:dyDescent="0.25">
      <c r="A26" s="76" t="s">
        <v>59</v>
      </c>
      <c r="B26" s="102" t="s">
        <v>70</v>
      </c>
      <c r="C26" s="83" t="s">
        <v>77</v>
      </c>
      <c r="D26" s="78" t="s">
        <v>40</v>
      </c>
      <c r="E26" s="88">
        <f t="shared" si="10"/>
        <v>539.70000000000005</v>
      </c>
      <c r="F26" s="88"/>
      <c r="G26" s="88"/>
      <c r="H26" s="88">
        <v>539.70000000000005</v>
      </c>
      <c r="I26" s="88">
        <f t="shared" si="11"/>
        <v>0</v>
      </c>
      <c r="J26" s="88">
        <f>M26</f>
        <v>539.70000000000005</v>
      </c>
      <c r="K26" s="88"/>
      <c r="L26" s="88"/>
      <c r="M26" s="88">
        <v>539.70000000000005</v>
      </c>
      <c r="N26" s="88">
        <v>0</v>
      </c>
      <c r="O26" s="88">
        <f>R26</f>
        <v>539.70000000000005</v>
      </c>
      <c r="P26" s="88"/>
      <c r="Q26" s="88"/>
      <c r="R26" s="88">
        <v>539.70000000000005</v>
      </c>
      <c r="S26" s="88">
        <v>0</v>
      </c>
      <c r="T26" s="79">
        <f t="shared" si="7"/>
        <v>1</v>
      </c>
      <c r="U26" s="79">
        <f t="shared" si="8"/>
        <v>1</v>
      </c>
    </row>
    <row r="27" spans="1:21" s="2" customFormat="1" x14ac:dyDescent="0.25">
      <c r="A27" s="76"/>
      <c r="B27" s="222" t="s">
        <v>306</v>
      </c>
      <c r="C27" s="223"/>
      <c r="D27" s="223"/>
      <c r="E27" s="112">
        <f>H27+I27</f>
        <v>4476.1000000000004</v>
      </c>
      <c r="F27" s="112">
        <f t="shared" ref="F27:Q27" si="12">F28</f>
        <v>0</v>
      </c>
      <c r="G27" s="112">
        <f t="shared" si="12"/>
        <v>0</v>
      </c>
      <c r="H27" s="112">
        <f>SUM(H28:H29)</f>
        <v>4473.1000000000004</v>
      </c>
      <c r="I27" s="112">
        <f>SUM(I28:I29)</f>
        <v>3</v>
      </c>
      <c r="J27" s="112">
        <f>M27+N27</f>
        <v>4476.1000000000004</v>
      </c>
      <c r="K27" s="112">
        <f t="shared" si="12"/>
        <v>0</v>
      </c>
      <c r="L27" s="112">
        <f t="shared" si="12"/>
        <v>0</v>
      </c>
      <c r="M27" s="112">
        <f>SUM(M28:M29)</f>
        <v>4473.1000000000004</v>
      </c>
      <c r="N27" s="112">
        <f>SUM(N28:N29)</f>
        <v>3</v>
      </c>
      <c r="O27" s="112">
        <f>R27+S27</f>
        <v>4476.1000000000004</v>
      </c>
      <c r="P27" s="112">
        <f t="shared" si="12"/>
        <v>0</v>
      </c>
      <c r="Q27" s="112">
        <f t="shared" si="12"/>
        <v>0</v>
      </c>
      <c r="R27" s="112">
        <f>SUM(R28:R29)</f>
        <v>4473.1000000000004</v>
      </c>
      <c r="S27" s="112">
        <f>SUM(S28:S29)</f>
        <v>3</v>
      </c>
      <c r="T27" s="80">
        <f t="shared" si="7"/>
        <v>1</v>
      </c>
      <c r="U27" s="80">
        <f t="shared" si="8"/>
        <v>1</v>
      </c>
    </row>
    <row r="28" spans="1:21" s="2" customFormat="1" ht="61.5" customHeight="1" x14ac:dyDescent="0.25">
      <c r="A28" s="76" t="s">
        <v>83</v>
      </c>
      <c r="B28" s="103" t="s">
        <v>307</v>
      </c>
      <c r="C28" s="78" t="s">
        <v>39</v>
      </c>
      <c r="D28" s="78" t="s">
        <v>39</v>
      </c>
      <c r="E28" s="88">
        <f t="shared" si="10"/>
        <v>4179.5</v>
      </c>
      <c r="F28" s="88"/>
      <c r="G28" s="88"/>
      <c r="H28" s="168">
        <v>4179.5</v>
      </c>
      <c r="I28" s="88">
        <f t="shared" si="11"/>
        <v>0</v>
      </c>
      <c r="J28" s="88">
        <f>M28</f>
        <v>4179.5</v>
      </c>
      <c r="K28" s="88"/>
      <c r="L28" s="88"/>
      <c r="M28" s="88">
        <v>4179.5</v>
      </c>
      <c r="N28" s="88">
        <v>0</v>
      </c>
      <c r="O28" s="88">
        <f>R28</f>
        <v>4179.5</v>
      </c>
      <c r="P28" s="88"/>
      <c r="Q28" s="88"/>
      <c r="R28" s="88">
        <v>4179.5</v>
      </c>
      <c r="S28" s="88">
        <v>0</v>
      </c>
      <c r="T28" s="79">
        <f t="shared" si="7"/>
        <v>1</v>
      </c>
      <c r="U28" s="79">
        <f t="shared" si="8"/>
        <v>1</v>
      </c>
    </row>
    <row r="29" spans="1:21" s="2" customFormat="1" ht="61.5" customHeight="1" x14ac:dyDescent="0.25">
      <c r="A29" s="76" t="s">
        <v>84</v>
      </c>
      <c r="B29" s="104" t="s">
        <v>402</v>
      </c>
      <c r="C29" s="61" t="s">
        <v>77</v>
      </c>
      <c r="D29" s="61" t="s">
        <v>61</v>
      </c>
      <c r="E29" s="88">
        <f>H29+I29</f>
        <v>296.60000000000002</v>
      </c>
      <c r="F29" s="88"/>
      <c r="G29" s="88"/>
      <c r="H29" s="169">
        <v>293.60000000000002</v>
      </c>
      <c r="I29" s="169">
        <v>3</v>
      </c>
      <c r="J29" s="88">
        <f>M29+N29</f>
        <v>296.60000000000002</v>
      </c>
      <c r="K29" s="88"/>
      <c r="L29" s="88"/>
      <c r="M29" s="88">
        <v>293.60000000000002</v>
      </c>
      <c r="N29" s="88">
        <v>3</v>
      </c>
      <c r="O29" s="88">
        <f>R29+S29</f>
        <v>296.60000000000002</v>
      </c>
      <c r="P29" s="88"/>
      <c r="Q29" s="88"/>
      <c r="R29" s="88">
        <f>M29</f>
        <v>293.60000000000002</v>
      </c>
      <c r="S29" s="88">
        <v>3</v>
      </c>
      <c r="T29" s="79">
        <f t="shared" si="7"/>
        <v>1</v>
      </c>
      <c r="U29" s="79">
        <f t="shared" si="8"/>
        <v>1</v>
      </c>
    </row>
    <row r="30" spans="1:21" s="2" customFormat="1" x14ac:dyDescent="0.25">
      <c r="A30" s="83"/>
      <c r="B30" s="87" t="s">
        <v>2</v>
      </c>
      <c r="C30" s="87"/>
      <c r="D30" s="88"/>
      <c r="E30" s="112">
        <f t="shared" ref="E30:I30" si="13">E6+E24+E27</f>
        <v>11663.6</v>
      </c>
      <c r="F30" s="112">
        <f t="shared" si="13"/>
        <v>0</v>
      </c>
      <c r="G30" s="112">
        <f t="shared" si="13"/>
        <v>0</v>
      </c>
      <c r="H30" s="112">
        <f t="shared" si="13"/>
        <v>11660.6</v>
      </c>
      <c r="I30" s="112">
        <f t="shared" si="13"/>
        <v>3</v>
      </c>
      <c r="J30" s="112">
        <f>J6+J24+J27</f>
        <v>11649.476060000001</v>
      </c>
      <c r="K30" s="112">
        <f t="shared" ref="K30:S30" si="14">K6+K24+K27</f>
        <v>0</v>
      </c>
      <c r="L30" s="112">
        <f t="shared" si="14"/>
        <v>0</v>
      </c>
      <c r="M30" s="112">
        <f t="shared" si="14"/>
        <v>11646.476060000001</v>
      </c>
      <c r="N30" s="112">
        <f t="shared" si="14"/>
        <v>3</v>
      </c>
      <c r="O30" s="112">
        <f t="shared" si="14"/>
        <v>11649.5</v>
      </c>
      <c r="P30" s="112">
        <f t="shared" si="14"/>
        <v>0</v>
      </c>
      <c r="Q30" s="112">
        <f t="shared" si="14"/>
        <v>0</v>
      </c>
      <c r="R30" s="112">
        <f t="shared" si="14"/>
        <v>11646.5</v>
      </c>
      <c r="S30" s="112">
        <f t="shared" si="14"/>
        <v>3</v>
      </c>
      <c r="T30" s="80">
        <f>J30/E30</f>
        <v>0.99878905826674447</v>
      </c>
      <c r="U30" s="80">
        <f t="shared" si="8"/>
        <v>0.99879111080626903</v>
      </c>
    </row>
  </sheetData>
  <mergeCells count="14">
    <mergeCell ref="B6:D6"/>
    <mergeCell ref="B24:D24"/>
    <mergeCell ref="B27:D27"/>
    <mergeCell ref="A1:U1"/>
    <mergeCell ref="A2:U2"/>
    <mergeCell ref="T3:T4"/>
    <mergeCell ref="U3:U4"/>
    <mergeCell ref="D3:D4"/>
    <mergeCell ref="A3:A4"/>
    <mergeCell ref="B3:B4"/>
    <mergeCell ref="C3:C4"/>
    <mergeCell ref="E3:I3"/>
    <mergeCell ref="J3:N3"/>
    <mergeCell ref="O3:S3"/>
  </mergeCells>
  <pageMargins left="0.39370078740157483" right="0.39370078740157483" top="0.39370078740157483" bottom="0.39370078740157483" header="0.31496062992125984" footer="0.31496062992125984"/>
  <pageSetup paperSize="9" scale="46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M10"/>
  <sheetViews>
    <sheetView tabSelected="1" view="pageBreakPreview" zoomScale="90" zoomScaleNormal="100" zoomScaleSheetLayoutView="90" workbookViewId="0">
      <selection activeCell="G7" sqref="G7"/>
    </sheetView>
  </sheetViews>
  <sheetFormatPr defaultRowHeight="15.75" x14ac:dyDescent="0.25"/>
  <cols>
    <col min="1" max="1" width="6.5703125" style="31" customWidth="1"/>
    <col min="2" max="2" width="35.28515625" style="31" customWidth="1"/>
    <col min="3" max="3" width="14" style="31" hidden="1" customWidth="1"/>
    <col min="4" max="4" width="11.42578125" style="31" hidden="1" customWidth="1"/>
    <col min="5" max="5" width="21.7109375" style="31" customWidth="1"/>
    <col min="6" max="6" width="18.28515625" style="31" customWidth="1"/>
    <col min="7" max="7" width="14.85546875" style="31" customWidth="1"/>
    <col min="8" max="8" width="19.5703125" style="31" customWidth="1"/>
    <col min="9" max="9" width="13.7109375" style="31" customWidth="1"/>
    <col min="10" max="10" width="14.7109375" style="31" customWidth="1"/>
    <col min="11" max="12" width="14.140625" style="31" customWidth="1"/>
    <col min="13" max="13" width="15.140625" style="31" customWidth="1"/>
    <col min="14" max="255" width="9.140625" style="31"/>
    <col min="256" max="256" width="6.5703125" style="31" customWidth="1"/>
    <col min="257" max="257" width="35.28515625" style="31" customWidth="1"/>
    <col min="258" max="258" width="14" style="31" customWidth="1"/>
    <col min="259" max="259" width="11.42578125" style="31" customWidth="1"/>
    <col min="260" max="260" width="21.7109375" style="31" customWidth="1"/>
    <col min="261" max="261" width="13.7109375" style="31" customWidth="1"/>
    <col min="262" max="262" width="14.85546875" style="31" customWidth="1"/>
    <col min="263" max="263" width="19.5703125" style="31" customWidth="1"/>
    <col min="264" max="264" width="13.7109375" style="31" customWidth="1"/>
    <col min="265" max="265" width="14.7109375" style="31" customWidth="1"/>
    <col min="266" max="267" width="14.140625" style="31" customWidth="1"/>
    <col min="268" max="268" width="15.140625" style="31" customWidth="1"/>
    <col min="269" max="269" width="21.5703125" style="31" customWidth="1"/>
    <col min="270" max="511" width="9.140625" style="31"/>
    <col min="512" max="512" width="6.5703125" style="31" customWidth="1"/>
    <col min="513" max="513" width="35.28515625" style="31" customWidth="1"/>
    <col min="514" max="514" width="14" style="31" customWidth="1"/>
    <col min="515" max="515" width="11.42578125" style="31" customWidth="1"/>
    <col min="516" max="516" width="21.7109375" style="31" customWidth="1"/>
    <col min="517" max="517" width="13.7109375" style="31" customWidth="1"/>
    <col min="518" max="518" width="14.85546875" style="31" customWidth="1"/>
    <col min="519" max="519" width="19.5703125" style="31" customWidth="1"/>
    <col min="520" max="520" width="13.7109375" style="31" customWidth="1"/>
    <col min="521" max="521" width="14.7109375" style="31" customWidth="1"/>
    <col min="522" max="523" width="14.140625" style="31" customWidth="1"/>
    <col min="524" max="524" width="15.140625" style="31" customWidth="1"/>
    <col min="525" max="525" width="21.5703125" style="31" customWidth="1"/>
    <col min="526" max="767" width="9.140625" style="31"/>
    <col min="768" max="768" width="6.5703125" style="31" customWidth="1"/>
    <col min="769" max="769" width="35.28515625" style="31" customWidth="1"/>
    <col min="770" max="770" width="14" style="31" customWidth="1"/>
    <col min="771" max="771" width="11.42578125" style="31" customWidth="1"/>
    <col min="772" max="772" width="21.7109375" style="31" customWidth="1"/>
    <col min="773" max="773" width="13.7109375" style="31" customWidth="1"/>
    <col min="774" max="774" width="14.85546875" style="31" customWidth="1"/>
    <col min="775" max="775" width="19.5703125" style="31" customWidth="1"/>
    <col min="776" max="776" width="13.7109375" style="31" customWidth="1"/>
    <col min="777" max="777" width="14.7109375" style="31" customWidth="1"/>
    <col min="778" max="779" width="14.140625" style="31" customWidth="1"/>
    <col min="780" max="780" width="15.140625" style="31" customWidth="1"/>
    <col min="781" max="781" width="21.5703125" style="31" customWidth="1"/>
    <col min="782" max="1023" width="9.140625" style="31"/>
    <col min="1024" max="1024" width="6.5703125" style="31" customWidth="1"/>
    <col min="1025" max="1025" width="35.28515625" style="31" customWidth="1"/>
    <col min="1026" max="1026" width="14" style="31" customWidth="1"/>
    <col min="1027" max="1027" width="11.42578125" style="31" customWidth="1"/>
    <col min="1028" max="1028" width="21.7109375" style="31" customWidth="1"/>
    <col min="1029" max="1029" width="13.7109375" style="31" customWidth="1"/>
    <col min="1030" max="1030" width="14.85546875" style="31" customWidth="1"/>
    <col min="1031" max="1031" width="19.5703125" style="31" customWidth="1"/>
    <col min="1032" max="1032" width="13.7109375" style="31" customWidth="1"/>
    <col min="1033" max="1033" width="14.7109375" style="31" customWidth="1"/>
    <col min="1034" max="1035" width="14.140625" style="31" customWidth="1"/>
    <col min="1036" max="1036" width="15.140625" style="31" customWidth="1"/>
    <col min="1037" max="1037" width="21.5703125" style="31" customWidth="1"/>
    <col min="1038" max="1279" width="9.140625" style="31"/>
    <col min="1280" max="1280" width="6.5703125" style="31" customWidth="1"/>
    <col min="1281" max="1281" width="35.28515625" style="31" customWidth="1"/>
    <col min="1282" max="1282" width="14" style="31" customWidth="1"/>
    <col min="1283" max="1283" width="11.42578125" style="31" customWidth="1"/>
    <col min="1284" max="1284" width="21.7109375" style="31" customWidth="1"/>
    <col min="1285" max="1285" width="13.7109375" style="31" customWidth="1"/>
    <col min="1286" max="1286" width="14.85546875" style="31" customWidth="1"/>
    <col min="1287" max="1287" width="19.5703125" style="31" customWidth="1"/>
    <col min="1288" max="1288" width="13.7109375" style="31" customWidth="1"/>
    <col min="1289" max="1289" width="14.7109375" style="31" customWidth="1"/>
    <col min="1290" max="1291" width="14.140625" style="31" customWidth="1"/>
    <col min="1292" max="1292" width="15.140625" style="31" customWidth="1"/>
    <col min="1293" max="1293" width="21.5703125" style="31" customWidth="1"/>
    <col min="1294" max="1535" width="9.140625" style="31"/>
    <col min="1536" max="1536" width="6.5703125" style="31" customWidth="1"/>
    <col min="1537" max="1537" width="35.28515625" style="31" customWidth="1"/>
    <col min="1538" max="1538" width="14" style="31" customWidth="1"/>
    <col min="1539" max="1539" width="11.42578125" style="31" customWidth="1"/>
    <col min="1540" max="1540" width="21.7109375" style="31" customWidth="1"/>
    <col min="1541" max="1541" width="13.7109375" style="31" customWidth="1"/>
    <col min="1542" max="1542" width="14.85546875" style="31" customWidth="1"/>
    <col min="1543" max="1543" width="19.5703125" style="31" customWidth="1"/>
    <col min="1544" max="1544" width="13.7109375" style="31" customWidth="1"/>
    <col min="1545" max="1545" width="14.7109375" style="31" customWidth="1"/>
    <col min="1546" max="1547" width="14.140625" style="31" customWidth="1"/>
    <col min="1548" max="1548" width="15.140625" style="31" customWidth="1"/>
    <col min="1549" max="1549" width="21.5703125" style="31" customWidth="1"/>
    <col min="1550" max="1791" width="9.140625" style="31"/>
    <col min="1792" max="1792" width="6.5703125" style="31" customWidth="1"/>
    <col min="1793" max="1793" width="35.28515625" style="31" customWidth="1"/>
    <col min="1794" max="1794" width="14" style="31" customWidth="1"/>
    <col min="1795" max="1795" width="11.42578125" style="31" customWidth="1"/>
    <col min="1796" max="1796" width="21.7109375" style="31" customWidth="1"/>
    <col min="1797" max="1797" width="13.7109375" style="31" customWidth="1"/>
    <col min="1798" max="1798" width="14.85546875" style="31" customWidth="1"/>
    <col min="1799" max="1799" width="19.5703125" style="31" customWidth="1"/>
    <col min="1800" max="1800" width="13.7109375" style="31" customWidth="1"/>
    <col min="1801" max="1801" width="14.7109375" style="31" customWidth="1"/>
    <col min="1802" max="1803" width="14.140625" style="31" customWidth="1"/>
    <col min="1804" max="1804" width="15.140625" style="31" customWidth="1"/>
    <col min="1805" max="1805" width="21.5703125" style="31" customWidth="1"/>
    <col min="1806" max="2047" width="9.140625" style="31"/>
    <col min="2048" max="2048" width="6.5703125" style="31" customWidth="1"/>
    <col min="2049" max="2049" width="35.28515625" style="31" customWidth="1"/>
    <col min="2050" max="2050" width="14" style="31" customWidth="1"/>
    <col min="2051" max="2051" width="11.42578125" style="31" customWidth="1"/>
    <col min="2052" max="2052" width="21.7109375" style="31" customWidth="1"/>
    <col min="2053" max="2053" width="13.7109375" style="31" customWidth="1"/>
    <col min="2054" max="2054" width="14.85546875" style="31" customWidth="1"/>
    <col min="2055" max="2055" width="19.5703125" style="31" customWidth="1"/>
    <col min="2056" max="2056" width="13.7109375" style="31" customWidth="1"/>
    <col min="2057" max="2057" width="14.7109375" style="31" customWidth="1"/>
    <col min="2058" max="2059" width="14.140625" style="31" customWidth="1"/>
    <col min="2060" max="2060" width="15.140625" style="31" customWidth="1"/>
    <col min="2061" max="2061" width="21.5703125" style="31" customWidth="1"/>
    <col min="2062" max="2303" width="9.140625" style="31"/>
    <col min="2304" max="2304" width="6.5703125" style="31" customWidth="1"/>
    <col min="2305" max="2305" width="35.28515625" style="31" customWidth="1"/>
    <col min="2306" max="2306" width="14" style="31" customWidth="1"/>
    <col min="2307" max="2307" width="11.42578125" style="31" customWidth="1"/>
    <col min="2308" max="2308" width="21.7109375" style="31" customWidth="1"/>
    <col min="2309" max="2309" width="13.7109375" style="31" customWidth="1"/>
    <col min="2310" max="2310" width="14.85546875" style="31" customWidth="1"/>
    <col min="2311" max="2311" width="19.5703125" style="31" customWidth="1"/>
    <col min="2312" max="2312" width="13.7109375" style="31" customWidth="1"/>
    <col min="2313" max="2313" width="14.7109375" style="31" customWidth="1"/>
    <col min="2314" max="2315" width="14.140625" style="31" customWidth="1"/>
    <col min="2316" max="2316" width="15.140625" style="31" customWidth="1"/>
    <col min="2317" max="2317" width="21.5703125" style="31" customWidth="1"/>
    <col min="2318" max="2559" width="9.140625" style="31"/>
    <col min="2560" max="2560" width="6.5703125" style="31" customWidth="1"/>
    <col min="2561" max="2561" width="35.28515625" style="31" customWidth="1"/>
    <col min="2562" max="2562" width="14" style="31" customWidth="1"/>
    <col min="2563" max="2563" width="11.42578125" style="31" customWidth="1"/>
    <col min="2564" max="2564" width="21.7109375" style="31" customWidth="1"/>
    <col min="2565" max="2565" width="13.7109375" style="31" customWidth="1"/>
    <col min="2566" max="2566" width="14.85546875" style="31" customWidth="1"/>
    <col min="2567" max="2567" width="19.5703125" style="31" customWidth="1"/>
    <col min="2568" max="2568" width="13.7109375" style="31" customWidth="1"/>
    <col min="2569" max="2569" width="14.7109375" style="31" customWidth="1"/>
    <col min="2570" max="2571" width="14.140625" style="31" customWidth="1"/>
    <col min="2572" max="2572" width="15.140625" style="31" customWidth="1"/>
    <col min="2573" max="2573" width="21.5703125" style="31" customWidth="1"/>
    <col min="2574" max="2815" width="9.140625" style="31"/>
    <col min="2816" max="2816" width="6.5703125" style="31" customWidth="1"/>
    <col min="2817" max="2817" width="35.28515625" style="31" customWidth="1"/>
    <col min="2818" max="2818" width="14" style="31" customWidth="1"/>
    <col min="2819" max="2819" width="11.42578125" style="31" customWidth="1"/>
    <col min="2820" max="2820" width="21.7109375" style="31" customWidth="1"/>
    <col min="2821" max="2821" width="13.7109375" style="31" customWidth="1"/>
    <col min="2822" max="2822" width="14.85546875" style="31" customWidth="1"/>
    <col min="2823" max="2823" width="19.5703125" style="31" customWidth="1"/>
    <col min="2824" max="2824" width="13.7109375" style="31" customWidth="1"/>
    <col min="2825" max="2825" width="14.7109375" style="31" customWidth="1"/>
    <col min="2826" max="2827" width="14.140625" style="31" customWidth="1"/>
    <col min="2828" max="2828" width="15.140625" style="31" customWidth="1"/>
    <col min="2829" max="2829" width="21.5703125" style="31" customWidth="1"/>
    <col min="2830" max="3071" width="9.140625" style="31"/>
    <col min="3072" max="3072" width="6.5703125" style="31" customWidth="1"/>
    <col min="3073" max="3073" width="35.28515625" style="31" customWidth="1"/>
    <col min="3074" max="3074" width="14" style="31" customWidth="1"/>
    <col min="3075" max="3075" width="11.42578125" style="31" customWidth="1"/>
    <col min="3076" max="3076" width="21.7109375" style="31" customWidth="1"/>
    <col min="3077" max="3077" width="13.7109375" style="31" customWidth="1"/>
    <col min="3078" max="3078" width="14.85546875" style="31" customWidth="1"/>
    <col min="3079" max="3079" width="19.5703125" style="31" customWidth="1"/>
    <col min="3080" max="3080" width="13.7109375" style="31" customWidth="1"/>
    <col min="3081" max="3081" width="14.7109375" style="31" customWidth="1"/>
    <col min="3082" max="3083" width="14.140625" style="31" customWidth="1"/>
    <col min="3084" max="3084" width="15.140625" style="31" customWidth="1"/>
    <col min="3085" max="3085" width="21.5703125" style="31" customWidth="1"/>
    <col min="3086" max="3327" width="9.140625" style="31"/>
    <col min="3328" max="3328" width="6.5703125" style="31" customWidth="1"/>
    <col min="3329" max="3329" width="35.28515625" style="31" customWidth="1"/>
    <col min="3330" max="3330" width="14" style="31" customWidth="1"/>
    <col min="3331" max="3331" width="11.42578125" style="31" customWidth="1"/>
    <col min="3332" max="3332" width="21.7109375" style="31" customWidth="1"/>
    <col min="3333" max="3333" width="13.7109375" style="31" customWidth="1"/>
    <col min="3334" max="3334" width="14.85546875" style="31" customWidth="1"/>
    <col min="3335" max="3335" width="19.5703125" style="31" customWidth="1"/>
    <col min="3336" max="3336" width="13.7109375" style="31" customWidth="1"/>
    <col min="3337" max="3337" width="14.7109375" style="31" customWidth="1"/>
    <col min="3338" max="3339" width="14.140625" style="31" customWidth="1"/>
    <col min="3340" max="3340" width="15.140625" style="31" customWidth="1"/>
    <col min="3341" max="3341" width="21.5703125" style="31" customWidth="1"/>
    <col min="3342" max="3583" width="9.140625" style="31"/>
    <col min="3584" max="3584" width="6.5703125" style="31" customWidth="1"/>
    <col min="3585" max="3585" width="35.28515625" style="31" customWidth="1"/>
    <col min="3586" max="3586" width="14" style="31" customWidth="1"/>
    <col min="3587" max="3587" width="11.42578125" style="31" customWidth="1"/>
    <col min="3588" max="3588" width="21.7109375" style="31" customWidth="1"/>
    <col min="3589" max="3589" width="13.7109375" style="31" customWidth="1"/>
    <col min="3590" max="3590" width="14.85546875" style="31" customWidth="1"/>
    <col min="3591" max="3591" width="19.5703125" style="31" customWidth="1"/>
    <col min="3592" max="3592" width="13.7109375" style="31" customWidth="1"/>
    <col min="3593" max="3593" width="14.7109375" style="31" customWidth="1"/>
    <col min="3594" max="3595" width="14.140625" style="31" customWidth="1"/>
    <col min="3596" max="3596" width="15.140625" style="31" customWidth="1"/>
    <col min="3597" max="3597" width="21.5703125" style="31" customWidth="1"/>
    <col min="3598" max="3839" width="9.140625" style="31"/>
    <col min="3840" max="3840" width="6.5703125" style="31" customWidth="1"/>
    <col min="3841" max="3841" width="35.28515625" style="31" customWidth="1"/>
    <col min="3842" max="3842" width="14" style="31" customWidth="1"/>
    <col min="3843" max="3843" width="11.42578125" style="31" customWidth="1"/>
    <col min="3844" max="3844" width="21.7109375" style="31" customWidth="1"/>
    <col min="3845" max="3845" width="13.7109375" style="31" customWidth="1"/>
    <col min="3846" max="3846" width="14.85546875" style="31" customWidth="1"/>
    <col min="3847" max="3847" width="19.5703125" style="31" customWidth="1"/>
    <col min="3848" max="3848" width="13.7109375" style="31" customWidth="1"/>
    <col min="3849" max="3849" width="14.7109375" style="31" customWidth="1"/>
    <col min="3850" max="3851" width="14.140625" style="31" customWidth="1"/>
    <col min="3852" max="3852" width="15.140625" style="31" customWidth="1"/>
    <col min="3853" max="3853" width="21.5703125" style="31" customWidth="1"/>
    <col min="3854" max="4095" width="9.140625" style="31"/>
    <col min="4096" max="4096" width="6.5703125" style="31" customWidth="1"/>
    <col min="4097" max="4097" width="35.28515625" style="31" customWidth="1"/>
    <col min="4098" max="4098" width="14" style="31" customWidth="1"/>
    <col min="4099" max="4099" width="11.42578125" style="31" customWidth="1"/>
    <col min="4100" max="4100" width="21.7109375" style="31" customWidth="1"/>
    <col min="4101" max="4101" width="13.7109375" style="31" customWidth="1"/>
    <col min="4102" max="4102" width="14.85546875" style="31" customWidth="1"/>
    <col min="4103" max="4103" width="19.5703125" style="31" customWidth="1"/>
    <col min="4104" max="4104" width="13.7109375" style="31" customWidth="1"/>
    <col min="4105" max="4105" width="14.7109375" style="31" customWidth="1"/>
    <col min="4106" max="4107" width="14.140625" style="31" customWidth="1"/>
    <col min="4108" max="4108" width="15.140625" style="31" customWidth="1"/>
    <col min="4109" max="4109" width="21.5703125" style="31" customWidth="1"/>
    <col min="4110" max="4351" width="9.140625" style="31"/>
    <col min="4352" max="4352" width="6.5703125" style="31" customWidth="1"/>
    <col min="4353" max="4353" width="35.28515625" style="31" customWidth="1"/>
    <col min="4354" max="4354" width="14" style="31" customWidth="1"/>
    <col min="4355" max="4355" width="11.42578125" style="31" customWidth="1"/>
    <col min="4356" max="4356" width="21.7109375" style="31" customWidth="1"/>
    <col min="4357" max="4357" width="13.7109375" style="31" customWidth="1"/>
    <col min="4358" max="4358" width="14.85546875" style="31" customWidth="1"/>
    <col min="4359" max="4359" width="19.5703125" style="31" customWidth="1"/>
    <col min="4360" max="4360" width="13.7109375" style="31" customWidth="1"/>
    <col min="4361" max="4361" width="14.7109375" style="31" customWidth="1"/>
    <col min="4362" max="4363" width="14.140625" style="31" customWidth="1"/>
    <col min="4364" max="4364" width="15.140625" style="31" customWidth="1"/>
    <col min="4365" max="4365" width="21.5703125" style="31" customWidth="1"/>
    <col min="4366" max="4607" width="9.140625" style="31"/>
    <col min="4608" max="4608" width="6.5703125" style="31" customWidth="1"/>
    <col min="4609" max="4609" width="35.28515625" style="31" customWidth="1"/>
    <col min="4610" max="4610" width="14" style="31" customWidth="1"/>
    <col min="4611" max="4611" width="11.42578125" style="31" customWidth="1"/>
    <col min="4612" max="4612" width="21.7109375" style="31" customWidth="1"/>
    <col min="4613" max="4613" width="13.7109375" style="31" customWidth="1"/>
    <col min="4614" max="4614" width="14.85546875" style="31" customWidth="1"/>
    <col min="4615" max="4615" width="19.5703125" style="31" customWidth="1"/>
    <col min="4616" max="4616" width="13.7109375" style="31" customWidth="1"/>
    <col min="4617" max="4617" width="14.7109375" style="31" customWidth="1"/>
    <col min="4618" max="4619" width="14.140625" style="31" customWidth="1"/>
    <col min="4620" max="4620" width="15.140625" style="31" customWidth="1"/>
    <col min="4621" max="4621" width="21.5703125" style="31" customWidth="1"/>
    <col min="4622" max="4863" width="9.140625" style="31"/>
    <col min="4864" max="4864" width="6.5703125" style="31" customWidth="1"/>
    <col min="4865" max="4865" width="35.28515625" style="31" customWidth="1"/>
    <col min="4866" max="4866" width="14" style="31" customWidth="1"/>
    <col min="4867" max="4867" width="11.42578125" style="31" customWidth="1"/>
    <col min="4868" max="4868" width="21.7109375" style="31" customWidth="1"/>
    <col min="4869" max="4869" width="13.7109375" style="31" customWidth="1"/>
    <col min="4870" max="4870" width="14.85546875" style="31" customWidth="1"/>
    <col min="4871" max="4871" width="19.5703125" style="31" customWidth="1"/>
    <col min="4872" max="4872" width="13.7109375" style="31" customWidth="1"/>
    <col min="4873" max="4873" width="14.7109375" style="31" customWidth="1"/>
    <col min="4874" max="4875" width="14.140625" style="31" customWidth="1"/>
    <col min="4876" max="4876" width="15.140625" style="31" customWidth="1"/>
    <col min="4877" max="4877" width="21.5703125" style="31" customWidth="1"/>
    <col min="4878" max="5119" width="9.140625" style="31"/>
    <col min="5120" max="5120" width="6.5703125" style="31" customWidth="1"/>
    <col min="5121" max="5121" width="35.28515625" style="31" customWidth="1"/>
    <col min="5122" max="5122" width="14" style="31" customWidth="1"/>
    <col min="5123" max="5123" width="11.42578125" style="31" customWidth="1"/>
    <col min="5124" max="5124" width="21.7109375" style="31" customWidth="1"/>
    <col min="5125" max="5125" width="13.7109375" style="31" customWidth="1"/>
    <col min="5126" max="5126" width="14.85546875" style="31" customWidth="1"/>
    <col min="5127" max="5127" width="19.5703125" style="31" customWidth="1"/>
    <col min="5128" max="5128" width="13.7109375" style="31" customWidth="1"/>
    <col min="5129" max="5129" width="14.7109375" style="31" customWidth="1"/>
    <col min="5130" max="5131" width="14.140625" style="31" customWidth="1"/>
    <col min="5132" max="5132" width="15.140625" style="31" customWidth="1"/>
    <col min="5133" max="5133" width="21.5703125" style="31" customWidth="1"/>
    <col min="5134" max="5375" width="9.140625" style="31"/>
    <col min="5376" max="5376" width="6.5703125" style="31" customWidth="1"/>
    <col min="5377" max="5377" width="35.28515625" style="31" customWidth="1"/>
    <col min="5378" max="5378" width="14" style="31" customWidth="1"/>
    <col min="5379" max="5379" width="11.42578125" style="31" customWidth="1"/>
    <col min="5380" max="5380" width="21.7109375" style="31" customWidth="1"/>
    <col min="5381" max="5381" width="13.7109375" style="31" customWidth="1"/>
    <col min="5382" max="5382" width="14.85546875" style="31" customWidth="1"/>
    <col min="5383" max="5383" width="19.5703125" style="31" customWidth="1"/>
    <col min="5384" max="5384" width="13.7109375" style="31" customWidth="1"/>
    <col min="5385" max="5385" width="14.7109375" style="31" customWidth="1"/>
    <col min="5386" max="5387" width="14.140625" style="31" customWidth="1"/>
    <col min="5388" max="5388" width="15.140625" style="31" customWidth="1"/>
    <col min="5389" max="5389" width="21.5703125" style="31" customWidth="1"/>
    <col min="5390" max="5631" width="9.140625" style="31"/>
    <col min="5632" max="5632" width="6.5703125" style="31" customWidth="1"/>
    <col min="5633" max="5633" width="35.28515625" style="31" customWidth="1"/>
    <col min="5634" max="5634" width="14" style="31" customWidth="1"/>
    <col min="5635" max="5635" width="11.42578125" style="31" customWidth="1"/>
    <col min="5636" max="5636" width="21.7109375" style="31" customWidth="1"/>
    <col min="5637" max="5637" width="13.7109375" style="31" customWidth="1"/>
    <col min="5638" max="5638" width="14.85546875" style="31" customWidth="1"/>
    <col min="5639" max="5639" width="19.5703125" style="31" customWidth="1"/>
    <col min="5640" max="5640" width="13.7109375" style="31" customWidth="1"/>
    <col min="5641" max="5641" width="14.7109375" style="31" customWidth="1"/>
    <col min="5642" max="5643" width="14.140625" style="31" customWidth="1"/>
    <col min="5644" max="5644" width="15.140625" style="31" customWidth="1"/>
    <col min="5645" max="5645" width="21.5703125" style="31" customWidth="1"/>
    <col min="5646" max="5887" width="9.140625" style="31"/>
    <col min="5888" max="5888" width="6.5703125" style="31" customWidth="1"/>
    <col min="5889" max="5889" width="35.28515625" style="31" customWidth="1"/>
    <col min="5890" max="5890" width="14" style="31" customWidth="1"/>
    <col min="5891" max="5891" width="11.42578125" style="31" customWidth="1"/>
    <col min="5892" max="5892" width="21.7109375" style="31" customWidth="1"/>
    <col min="5893" max="5893" width="13.7109375" style="31" customWidth="1"/>
    <col min="5894" max="5894" width="14.85546875" style="31" customWidth="1"/>
    <col min="5895" max="5895" width="19.5703125" style="31" customWidth="1"/>
    <col min="5896" max="5896" width="13.7109375" style="31" customWidth="1"/>
    <col min="5897" max="5897" width="14.7109375" style="31" customWidth="1"/>
    <col min="5898" max="5899" width="14.140625" style="31" customWidth="1"/>
    <col min="5900" max="5900" width="15.140625" style="31" customWidth="1"/>
    <col min="5901" max="5901" width="21.5703125" style="31" customWidth="1"/>
    <col min="5902" max="6143" width="9.140625" style="31"/>
    <col min="6144" max="6144" width="6.5703125" style="31" customWidth="1"/>
    <col min="6145" max="6145" width="35.28515625" style="31" customWidth="1"/>
    <col min="6146" max="6146" width="14" style="31" customWidth="1"/>
    <col min="6147" max="6147" width="11.42578125" style="31" customWidth="1"/>
    <col min="6148" max="6148" width="21.7109375" style="31" customWidth="1"/>
    <col min="6149" max="6149" width="13.7109375" style="31" customWidth="1"/>
    <col min="6150" max="6150" width="14.85546875" style="31" customWidth="1"/>
    <col min="6151" max="6151" width="19.5703125" style="31" customWidth="1"/>
    <col min="6152" max="6152" width="13.7109375" style="31" customWidth="1"/>
    <col min="6153" max="6153" width="14.7109375" style="31" customWidth="1"/>
    <col min="6154" max="6155" width="14.140625" style="31" customWidth="1"/>
    <col min="6156" max="6156" width="15.140625" style="31" customWidth="1"/>
    <col min="6157" max="6157" width="21.5703125" style="31" customWidth="1"/>
    <col min="6158" max="6399" width="9.140625" style="31"/>
    <col min="6400" max="6400" width="6.5703125" style="31" customWidth="1"/>
    <col min="6401" max="6401" width="35.28515625" style="31" customWidth="1"/>
    <col min="6402" max="6402" width="14" style="31" customWidth="1"/>
    <col min="6403" max="6403" width="11.42578125" style="31" customWidth="1"/>
    <col min="6404" max="6404" width="21.7109375" style="31" customWidth="1"/>
    <col min="6405" max="6405" width="13.7109375" style="31" customWidth="1"/>
    <col min="6406" max="6406" width="14.85546875" style="31" customWidth="1"/>
    <col min="6407" max="6407" width="19.5703125" style="31" customWidth="1"/>
    <col min="6408" max="6408" width="13.7109375" style="31" customWidth="1"/>
    <col min="6409" max="6409" width="14.7109375" style="31" customWidth="1"/>
    <col min="6410" max="6411" width="14.140625" style="31" customWidth="1"/>
    <col min="6412" max="6412" width="15.140625" style="31" customWidth="1"/>
    <col min="6413" max="6413" width="21.5703125" style="31" customWidth="1"/>
    <col min="6414" max="6655" width="9.140625" style="31"/>
    <col min="6656" max="6656" width="6.5703125" style="31" customWidth="1"/>
    <col min="6657" max="6657" width="35.28515625" style="31" customWidth="1"/>
    <col min="6658" max="6658" width="14" style="31" customWidth="1"/>
    <col min="6659" max="6659" width="11.42578125" style="31" customWidth="1"/>
    <col min="6660" max="6660" width="21.7109375" style="31" customWidth="1"/>
    <col min="6661" max="6661" width="13.7109375" style="31" customWidth="1"/>
    <col min="6662" max="6662" width="14.85546875" style="31" customWidth="1"/>
    <col min="6663" max="6663" width="19.5703125" style="31" customWidth="1"/>
    <col min="6664" max="6664" width="13.7109375" style="31" customWidth="1"/>
    <col min="6665" max="6665" width="14.7109375" style="31" customWidth="1"/>
    <col min="6666" max="6667" width="14.140625" style="31" customWidth="1"/>
    <col min="6668" max="6668" width="15.140625" style="31" customWidth="1"/>
    <col min="6669" max="6669" width="21.5703125" style="31" customWidth="1"/>
    <col min="6670" max="6911" width="9.140625" style="31"/>
    <col min="6912" max="6912" width="6.5703125" style="31" customWidth="1"/>
    <col min="6913" max="6913" width="35.28515625" style="31" customWidth="1"/>
    <col min="6914" max="6914" width="14" style="31" customWidth="1"/>
    <col min="6915" max="6915" width="11.42578125" style="31" customWidth="1"/>
    <col min="6916" max="6916" width="21.7109375" style="31" customWidth="1"/>
    <col min="6917" max="6917" width="13.7109375" style="31" customWidth="1"/>
    <col min="6918" max="6918" width="14.85546875" style="31" customWidth="1"/>
    <col min="6919" max="6919" width="19.5703125" style="31" customWidth="1"/>
    <col min="6920" max="6920" width="13.7109375" style="31" customWidth="1"/>
    <col min="6921" max="6921" width="14.7109375" style="31" customWidth="1"/>
    <col min="6922" max="6923" width="14.140625" style="31" customWidth="1"/>
    <col min="6924" max="6924" width="15.140625" style="31" customWidth="1"/>
    <col min="6925" max="6925" width="21.5703125" style="31" customWidth="1"/>
    <col min="6926" max="7167" width="9.140625" style="31"/>
    <col min="7168" max="7168" width="6.5703125" style="31" customWidth="1"/>
    <col min="7169" max="7169" width="35.28515625" style="31" customWidth="1"/>
    <col min="7170" max="7170" width="14" style="31" customWidth="1"/>
    <col min="7171" max="7171" width="11.42578125" style="31" customWidth="1"/>
    <col min="7172" max="7172" width="21.7109375" style="31" customWidth="1"/>
    <col min="7173" max="7173" width="13.7109375" style="31" customWidth="1"/>
    <col min="7174" max="7174" width="14.85546875" style="31" customWidth="1"/>
    <col min="7175" max="7175" width="19.5703125" style="31" customWidth="1"/>
    <col min="7176" max="7176" width="13.7109375" style="31" customWidth="1"/>
    <col min="7177" max="7177" width="14.7109375" style="31" customWidth="1"/>
    <col min="7178" max="7179" width="14.140625" style="31" customWidth="1"/>
    <col min="7180" max="7180" width="15.140625" style="31" customWidth="1"/>
    <col min="7181" max="7181" width="21.5703125" style="31" customWidth="1"/>
    <col min="7182" max="7423" width="9.140625" style="31"/>
    <col min="7424" max="7424" width="6.5703125" style="31" customWidth="1"/>
    <col min="7425" max="7425" width="35.28515625" style="31" customWidth="1"/>
    <col min="7426" max="7426" width="14" style="31" customWidth="1"/>
    <col min="7427" max="7427" width="11.42578125" style="31" customWidth="1"/>
    <col min="7428" max="7428" width="21.7109375" style="31" customWidth="1"/>
    <col min="7429" max="7429" width="13.7109375" style="31" customWidth="1"/>
    <col min="7430" max="7430" width="14.85546875" style="31" customWidth="1"/>
    <col min="7431" max="7431" width="19.5703125" style="31" customWidth="1"/>
    <col min="7432" max="7432" width="13.7109375" style="31" customWidth="1"/>
    <col min="7433" max="7433" width="14.7109375" style="31" customWidth="1"/>
    <col min="7434" max="7435" width="14.140625" style="31" customWidth="1"/>
    <col min="7436" max="7436" width="15.140625" style="31" customWidth="1"/>
    <col min="7437" max="7437" width="21.5703125" style="31" customWidth="1"/>
    <col min="7438" max="7679" width="9.140625" style="31"/>
    <col min="7680" max="7680" width="6.5703125" style="31" customWidth="1"/>
    <col min="7681" max="7681" width="35.28515625" style="31" customWidth="1"/>
    <col min="7682" max="7682" width="14" style="31" customWidth="1"/>
    <col min="7683" max="7683" width="11.42578125" style="31" customWidth="1"/>
    <col min="7684" max="7684" width="21.7109375" style="31" customWidth="1"/>
    <col min="7685" max="7685" width="13.7109375" style="31" customWidth="1"/>
    <col min="7686" max="7686" width="14.85546875" style="31" customWidth="1"/>
    <col min="7687" max="7687" width="19.5703125" style="31" customWidth="1"/>
    <col min="7688" max="7688" width="13.7109375" style="31" customWidth="1"/>
    <col min="7689" max="7689" width="14.7109375" style="31" customWidth="1"/>
    <col min="7690" max="7691" width="14.140625" style="31" customWidth="1"/>
    <col min="7692" max="7692" width="15.140625" style="31" customWidth="1"/>
    <col min="7693" max="7693" width="21.5703125" style="31" customWidth="1"/>
    <col min="7694" max="7935" width="9.140625" style="31"/>
    <col min="7936" max="7936" width="6.5703125" style="31" customWidth="1"/>
    <col min="7937" max="7937" width="35.28515625" style="31" customWidth="1"/>
    <col min="7938" max="7938" width="14" style="31" customWidth="1"/>
    <col min="7939" max="7939" width="11.42578125" style="31" customWidth="1"/>
    <col min="7940" max="7940" width="21.7109375" style="31" customWidth="1"/>
    <col min="7941" max="7941" width="13.7109375" style="31" customWidth="1"/>
    <col min="7942" max="7942" width="14.85546875" style="31" customWidth="1"/>
    <col min="7943" max="7943" width="19.5703125" style="31" customWidth="1"/>
    <col min="7944" max="7944" width="13.7109375" style="31" customWidth="1"/>
    <col min="7945" max="7945" width="14.7109375" style="31" customWidth="1"/>
    <col min="7946" max="7947" width="14.140625" style="31" customWidth="1"/>
    <col min="7948" max="7948" width="15.140625" style="31" customWidth="1"/>
    <col min="7949" max="7949" width="21.5703125" style="31" customWidth="1"/>
    <col min="7950" max="8191" width="9.140625" style="31"/>
    <col min="8192" max="8192" width="6.5703125" style="31" customWidth="1"/>
    <col min="8193" max="8193" width="35.28515625" style="31" customWidth="1"/>
    <col min="8194" max="8194" width="14" style="31" customWidth="1"/>
    <col min="8195" max="8195" width="11.42578125" style="31" customWidth="1"/>
    <col min="8196" max="8196" width="21.7109375" style="31" customWidth="1"/>
    <col min="8197" max="8197" width="13.7109375" style="31" customWidth="1"/>
    <col min="8198" max="8198" width="14.85546875" style="31" customWidth="1"/>
    <col min="8199" max="8199" width="19.5703125" style="31" customWidth="1"/>
    <col min="8200" max="8200" width="13.7109375" style="31" customWidth="1"/>
    <col min="8201" max="8201" width="14.7109375" style="31" customWidth="1"/>
    <col min="8202" max="8203" width="14.140625" style="31" customWidth="1"/>
    <col min="8204" max="8204" width="15.140625" style="31" customWidth="1"/>
    <col min="8205" max="8205" width="21.5703125" style="31" customWidth="1"/>
    <col min="8206" max="8447" width="9.140625" style="31"/>
    <col min="8448" max="8448" width="6.5703125" style="31" customWidth="1"/>
    <col min="8449" max="8449" width="35.28515625" style="31" customWidth="1"/>
    <col min="8450" max="8450" width="14" style="31" customWidth="1"/>
    <col min="8451" max="8451" width="11.42578125" style="31" customWidth="1"/>
    <col min="8452" max="8452" width="21.7109375" style="31" customWidth="1"/>
    <col min="8453" max="8453" width="13.7109375" style="31" customWidth="1"/>
    <col min="8454" max="8454" width="14.85546875" style="31" customWidth="1"/>
    <col min="8455" max="8455" width="19.5703125" style="31" customWidth="1"/>
    <col min="8456" max="8456" width="13.7109375" style="31" customWidth="1"/>
    <col min="8457" max="8457" width="14.7109375" style="31" customWidth="1"/>
    <col min="8458" max="8459" width="14.140625" style="31" customWidth="1"/>
    <col min="8460" max="8460" width="15.140625" style="31" customWidth="1"/>
    <col min="8461" max="8461" width="21.5703125" style="31" customWidth="1"/>
    <col min="8462" max="8703" width="9.140625" style="31"/>
    <col min="8704" max="8704" width="6.5703125" style="31" customWidth="1"/>
    <col min="8705" max="8705" width="35.28515625" style="31" customWidth="1"/>
    <col min="8706" max="8706" width="14" style="31" customWidth="1"/>
    <col min="8707" max="8707" width="11.42578125" style="31" customWidth="1"/>
    <col min="8708" max="8708" width="21.7109375" style="31" customWidth="1"/>
    <col min="8709" max="8709" width="13.7109375" style="31" customWidth="1"/>
    <col min="8710" max="8710" width="14.85546875" style="31" customWidth="1"/>
    <col min="8711" max="8711" width="19.5703125" style="31" customWidth="1"/>
    <col min="8712" max="8712" width="13.7109375" style="31" customWidth="1"/>
    <col min="8713" max="8713" width="14.7109375" style="31" customWidth="1"/>
    <col min="8714" max="8715" width="14.140625" style="31" customWidth="1"/>
    <col min="8716" max="8716" width="15.140625" style="31" customWidth="1"/>
    <col min="8717" max="8717" width="21.5703125" style="31" customWidth="1"/>
    <col min="8718" max="8959" width="9.140625" style="31"/>
    <col min="8960" max="8960" width="6.5703125" style="31" customWidth="1"/>
    <col min="8961" max="8961" width="35.28515625" style="31" customWidth="1"/>
    <col min="8962" max="8962" width="14" style="31" customWidth="1"/>
    <col min="8963" max="8963" width="11.42578125" style="31" customWidth="1"/>
    <col min="8964" max="8964" width="21.7109375" style="31" customWidth="1"/>
    <col min="8965" max="8965" width="13.7109375" style="31" customWidth="1"/>
    <col min="8966" max="8966" width="14.85546875" style="31" customWidth="1"/>
    <col min="8967" max="8967" width="19.5703125" style="31" customWidth="1"/>
    <col min="8968" max="8968" width="13.7109375" style="31" customWidth="1"/>
    <col min="8969" max="8969" width="14.7109375" style="31" customWidth="1"/>
    <col min="8970" max="8971" width="14.140625" style="31" customWidth="1"/>
    <col min="8972" max="8972" width="15.140625" style="31" customWidth="1"/>
    <col min="8973" max="8973" width="21.5703125" style="31" customWidth="1"/>
    <col min="8974" max="9215" width="9.140625" style="31"/>
    <col min="9216" max="9216" width="6.5703125" style="31" customWidth="1"/>
    <col min="9217" max="9217" width="35.28515625" style="31" customWidth="1"/>
    <col min="9218" max="9218" width="14" style="31" customWidth="1"/>
    <col min="9219" max="9219" width="11.42578125" style="31" customWidth="1"/>
    <col min="9220" max="9220" width="21.7109375" style="31" customWidth="1"/>
    <col min="9221" max="9221" width="13.7109375" style="31" customWidth="1"/>
    <col min="9222" max="9222" width="14.85546875" style="31" customWidth="1"/>
    <col min="9223" max="9223" width="19.5703125" style="31" customWidth="1"/>
    <col min="9224" max="9224" width="13.7109375" style="31" customWidth="1"/>
    <col min="9225" max="9225" width="14.7109375" style="31" customWidth="1"/>
    <col min="9226" max="9227" width="14.140625" style="31" customWidth="1"/>
    <col min="9228" max="9228" width="15.140625" style="31" customWidth="1"/>
    <col min="9229" max="9229" width="21.5703125" style="31" customWidth="1"/>
    <col min="9230" max="9471" width="9.140625" style="31"/>
    <col min="9472" max="9472" width="6.5703125" style="31" customWidth="1"/>
    <col min="9473" max="9473" width="35.28515625" style="31" customWidth="1"/>
    <col min="9474" max="9474" width="14" style="31" customWidth="1"/>
    <col min="9475" max="9475" width="11.42578125" style="31" customWidth="1"/>
    <col min="9476" max="9476" width="21.7109375" style="31" customWidth="1"/>
    <col min="9477" max="9477" width="13.7109375" style="31" customWidth="1"/>
    <col min="9478" max="9478" width="14.85546875" style="31" customWidth="1"/>
    <col min="9479" max="9479" width="19.5703125" style="31" customWidth="1"/>
    <col min="9480" max="9480" width="13.7109375" style="31" customWidth="1"/>
    <col min="9481" max="9481" width="14.7109375" style="31" customWidth="1"/>
    <col min="9482" max="9483" width="14.140625" style="31" customWidth="1"/>
    <col min="9484" max="9484" width="15.140625" style="31" customWidth="1"/>
    <col min="9485" max="9485" width="21.5703125" style="31" customWidth="1"/>
    <col min="9486" max="9727" width="9.140625" style="31"/>
    <col min="9728" max="9728" width="6.5703125" style="31" customWidth="1"/>
    <col min="9729" max="9729" width="35.28515625" style="31" customWidth="1"/>
    <col min="9730" max="9730" width="14" style="31" customWidth="1"/>
    <col min="9731" max="9731" width="11.42578125" style="31" customWidth="1"/>
    <col min="9732" max="9732" width="21.7109375" style="31" customWidth="1"/>
    <col min="9733" max="9733" width="13.7109375" style="31" customWidth="1"/>
    <col min="9734" max="9734" width="14.85546875" style="31" customWidth="1"/>
    <col min="9735" max="9735" width="19.5703125" style="31" customWidth="1"/>
    <col min="9736" max="9736" width="13.7109375" style="31" customWidth="1"/>
    <col min="9737" max="9737" width="14.7109375" style="31" customWidth="1"/>
    <col min="9738" max="9739" width="14.140625" style="31" customWidth="1"/>
    <col min="9740" max="9740" width="15.140625" style="31" customWidth="1"/>
    <col min="9741" max="9741" width="21.5703125" style="31" customWidth="1"/>
    <col min="9742" max="9983" width="9.140625" style="31"/>
    <col min="9984" max="9984" width="6.5703125" style="31" customWidth="1"/>
    <col min="9985" max="9985" width="35.28515625" style="31" customWidth="1"/>
    <col min="9986" max="9986" width="14" style="31" customWidth="1"/>
    <col min="9987" max="9987" width="11.42578125" style="31" customWidth="1"/>
    <col min="9988" max="9988" width="21.7109375" style="31" customWidth="1"/>
    <col min="9989" max="9989" width="13.7109375" style="31" customWidth="1"/>
    <col min="9990" max="9990" width="14.85546875" style="31" customWidth="1"/>
    <col min="9991" max="9991" width="19.5703125" style="31" customWidth="1"/>
    <col min="9992" max="9992" width="13.7109375" style="31" customWidth="1"/>
    <col min="9993" max="9993" width="14.7109375" style="31" customWidth="1"/>
    <col min="9994" max="9995" width="14.140625" style="31" customWidth="1"/>
    <col min="9996" max="9996" width="15.140625" style="31" customWidth="1"/>
    <col min="9997" max="9997" width="21.5703125" style="31" customWidth="1"/>
    <col min="9998" max="10239" width="9.140625" style="31"/>
    <col min="10240" max="10240" width="6.5703125" style="31" customWidth="1"/>
    <col min="10241" max="10241" width="35.28515625" style="31" customWidth="1"/>
    <col min="10242" max="10242" width="14" style="31" customWidth="1"/>
    <col min="10243" max="10243" width="11.42578125" style="31" customWidth="1"/>
    <col min="10244" max="10244" width="21.7109375" style="31" customWidth="1"/>
    <col min="10245" max="10245" width="13.7109375" style="31" customWidth="1"/>
    <col min="10246" max="10246" width="14.85546875" style="31" customWidth="1"/>
    <col min="10247" max="10247" width="19.5703125" style="31" customWidth="1"/>
    <col min="10248" max="10248" width="13.7109375" style="31" customWidth="1"/>
    <col min="10249" max="10249" width="14.7109375" style="31" customWidth="1"/>
    <col min="10250" max="10251" width="14.140625" style="31" customWidth="1"/>
    <col min="10252" max="10252" width="15.140625" style="31" customWidth="1"/>
    <col min="10253" max="10253" width="21.5703125" style="31" customWidth="1"/>
    <col min="10254" max="10495" width="9.140625" style="31"/>
    <col min="10496" max="10496" width="6.5703125" style="31" customWidth="1"/>
    <col min="10497" max="10497" width="35.28515625" style="31" customWidth="1"/>
    <col min="10498" max="10498" width="14" style="31" customWidth="1"/>
    <col min="10499" max="10499" width="11.42578125" style="31" customWidth="1"/>
    <col min="10500" max="10500" width="21.7109375" style="31" customWidth="1"/>
    <col min="10501" max="10501" width="13.7109375" style="31" customWidth="1"/>
    <col min="10502" max="10502" width="14.85546875" style="31" customWidth="1"/>
    <col min="10503" max="10503" width="19.5703125" style="31" customWidth="1"/>
    <col min="10504" max="10504" width="13.7109375" style="31" customWidth="1"/>
    <col min="10505" max="10505" width="14.7109375" style="31" customWidth="1"/>
    <col min="10506" max="10507" width="14.140625" style="31" customWidth="1"/>
    <col min="10508" max="10508" width="15.140625" style="31" customWidth="1"/>
    <col min="10509" max="10509" width="21.5703125" style="31" customWidth="1"/>
    <col min="10510" max="10751" width="9.140625" style="31"/>
    <col min="10752" max="10752" width="6.5703125" style="31" customWidth="1"/>
    <col min="10753" max="10753" width="35.28515625" style="31" customWidth="1"/>
    <col min="10754" max="10754" width="14" style="31" customWidth="1"/>
    <col min="10755" max="10755" width="11.42578125" style="31" customWidth="1"/>
    <col min="10756" max="10756" width="21.7109375" style="31" customWidth="1"/>
    <col min="10757" max="10757" width="13.7109375" style="31" customWidth="1"/>
    <col min="10758" max="10758" width="14.85546875" style="31" customWidth="1"/>
    <col min="10759" max="10759" width="19.5703125" style="31" customWidth="1"/>
    <col min="10760" max="10760" width="13.7109375" style="31" customWidth="1"/>
    <col min="10761" max="10761" width="14.7109375" style="31" customWidth="1"/>
    <col min="10762" max="10763" width="14.140625" style="31" customWidth="1"/>
    <col min="10764" max="10764" width="15.140625" style="31" customWidth="1"/>
    <col min="10765" max="10765" width="21.5703125" style="31" customWidth="1"/>
    <col min="10766" max="11007" width="9.140625" style="31"/>
    <col min="11008" max="11008" width="6.5703125" style="31" customWidth="1"/>
    <col min="11009" max="11009" width="35.28515625" style="31" customWidth="1"/>
    <col min="11010" max="11010" width="14" style="31" customWidth="1"/>
    <col min="11011" max="11011" width="11.42578125" style="31" customWidth="1"/>
    <col min="11012" max="11012" width="21.7109375" style="31" customWidth="1"/>
    <col min="11013" max="11013" width="13.7109375" style="31" customWidth="1"/>
    <col min="11014" max="11014" width="14.85546875" style="31" customWidth="1"/>
    <col min="11015" max="11015" width="19.5703125" style="31" customWidth="1"/>
    <col min="11016" max="11016" width="13.7109375" style="31" customWidth="1"/>
    <col min="11017" max="11017" width="14.7109375" style="31" customWidth="1"/>
    <col min="11018" max="11019" width="14.140625" style="31" customWidth="1"/>
    <col min="11020" max="11020" width="15.140625" style="31" customWidth="1"/>
    <col min="11021" max="11021" width="21.5703125" style="31" customWidth="1"/>
    <col min="11022" max="11263" width="9.140625" style="31"/>
    <col min="11264" max="11264" width="6.5703125" style="31" customWidth="1"/>
    <col min="11265" max="11265" width="35.28515625" style="31" customWidth="1"/>
    <col min="11266" max="11266" width="14" style="31" customWidth="1"/>
    <col min="11267" max="11267" width="11.42578125" style="31" customWidth="1"/>
    <col min="11268" max="11268" width="21.7109375" style="31" customWidth="1"/>
    <col min="11269" max="11269" width="13.7109375" style="31" customWidth="1"/>
    <col min="11270" max="11270" width="14.85546875" style="31" customWidth="1"/>
    <col min="11271" max="11271" width="19.5703125" style="31" customWidth="1"/>
    <col min="11272" max="11272" width="13.7109375" style="31" customWidth="1"/>
    <col min="11273" max="11273" width="14.7109375" style="31" customWidth="1"/>
    <col min="11274" max="11275" width="14.140625" style="31" customWidth="1"/>
    <col min="11276" max="11276" width="15.140625" style="31" customWidth="1"/>
    <col min="11277" max="11277" width="21.5703125" style="31" customWidth="1"/>
    <col min="11278" max="11519" width="9.140625" style="31"/>
    <col min="11520" max="11520" width="6.5703125" style="31" customWidth="1"/>
    <col min="11521" max="11521" width="35.28515625" style="31" customWidth="1"/>
    <col min="11522" max="11522" width="14" style="31" customWidth="1"/>
    <col min="11523" max="11523" width="11.42578125" style="31" customWidth="1"/>
    <col min="11524" max="11524" width="21.7109375" style="31" customWidth="1"/>
    <col min="11525" max="11525" width="13.7109375" style="31" customWidth="1"/>
    <col min="11526" max="11526" width="14.85546875" style="31" customWidth="1"/>
    <col min="11527" max="11527" width="19.5703125" style="31" customWidth="1"/>
    <col min="11528" max="11528" width="13.7109375" style="31" customWidth="1"/>
    <col min="11529" max="11529" width="14.7109375" style="31" customWidth="1"/>
    <col min="11530" max="11531" width="14.140625" style="31" customWidth="1"/>
    <col min="11532" max="11532" width="15.140625" style="31" customWidth="1"/>
    <col min="11533" max="11533" width="21.5703125" style="31" customWidth="1"/>
    <col min="11534" max="11775" width="9.140625" style="31"/>
    <col min="11776" max="11776" width="6.5703125" style="31" customWidth="1"/>
    <col min="11777" max="11777" width="35.28515625" style="31" customWidth="1"/>
    <col min="11778" max="11778" width="14" style="31" customWidth="1"/>
    <col min="11779" max="11779" width="11.42578125" style="31" customWidth="1"/>
    <col min="11780" max="11780" width="21.7109375" style="31" customWidth="1"/>
    <col min="11781" max="11781" width="13.7109375" style="31" customWidth="1"/>
    <col min="11782" max="11782" width="14.85546875" style="31" customWidth="1"/>
    <col min="11783" max="11783" width="19.5703125" style="31" customWidth="1"/>
    <col min="11784" max="11784" width="13.7109375" style="31" customWidth="1"/>
    <col min="11785" max="11785" width="14.7109375" style="31" customWidth="1"/>
    <col min="11786" max="11787" width="14.140625" style="31" customWidth="1"/>
    <col min="11788" max="11788" width="15.140625" style="31" customWidth="1"/>
    <col min="11789" max="11789" width="21.5703125" style="31" customWidth="1"/>
    <col min="11790" max="12031" width="9.140625" style="31"/>
    <col min="12032" max="12032" width="6.5703125" style="31" customWidth="1"/>
    <col min="12033" max="12033" width="35.28515625" style="31" customWidth="1"/>
    <col min="12034" max="12034" width="14" style="31" customWidth="1"/>
    <col min="12035" max="12035" width="11.42578125" style="31" customWidth="1"/>
    <col min="12036" max="12036" width="21.7109375" style="31" customWidth="1"/>
    <col min="12037" max="12037" width="13.7109375" style="31" customWidth="1"/>
    <col min="12038" max="12038" width="14.85546875" style="31" customWidth="1"/>
    <col min="12039" max="12039" width="19.5703125" style="31" customWidth="1"/>
    <col min="12040" max="12040" width="13.7109375" style="31" customWidth="1"/>
    <col min="12041" max="12041" width="14.7109375" style="31" customWidth="1"/>
    <col min="12042" max="12043" width="14.140625" style="31" customWidth="1"/>
    <col min="12044" max="12044" width="15.140625" style="31" customWidth="1"/>
    <col min="12045" max="12045" width="21.5703125" style="31" customWidth="1"/>
    <col min="12046" max="12287" width="9.140625" style="31"/>
    <col min="12288" max="12288" width="6.5703125" style="31" customWidth="1"/>
    <col min="12289" max="12289" width="35.28515625" style="31" customWidth="1"/>
    <col min="12290" max="12290" width="14" style="31" customWidth="1"/>
    <col min="12291" max="12291" width="11.42578125" style="31" customWidth="1"/>
    <col min="12292" max="12292" width="21.7109375" style="31" customWidth="1"/>
    <col min="12293" max="12293" width="13.7109375" style="31" customWidth="1"/>
    <col min="12294" max="12294" width="14.85546875" style="31" customWidth="1"/>
    <col min="12295" max="12295" width="19.5703125" style="31" customWidth="1"/>
    <col min="12296" max="12296" width="13.7109375" style="31" customWidth="1"/>
    <col min="12297" max="12297" width="14.7109375" style="31" customWidth="1"/>
    <col min="12298" max="12299" width="14.140625" style="31" customWidth="1"/>
    <col min="12300" max="12300" width="15.140625" style="31" customWidth="1"/>
    <col min="12301" max="12301" width="21.5703125" style="31" customWidth="1"/>
    <col min="12302" max="12543" width="9.140625" style="31"/>
    <col min="12544" max="12544" width="6.5703125" style="31" customWidth="1"/>
    <col min="12545" max="12545" width="35.28515625" style="31" customWidth="1"/>
    <col min="12546" max="12546" width="14" style="31" customWidth="1"/>
    <col min="12547" max="12547" width="11.42578125" style="31" customWidth="1"/>
    <col min="12548" max="12548" width="21.7109375" style="31" customWidth="1"/>
    <col min="12549" max="12549" width="13.7109375" style="31" customWidth="1"/>
    <col min="12550" max="12550" width="14.85546875" style="31" customWidth="1"/>
    <col min="12551" max="12551" width="19.5703125" style="31" customWidth="1"/>
    <col min="12552" max="12552" width="13.7109375" style="31" customWidth="1"/>
    <col min="12553" max="12553" width="14.7109375" style="31" customWidth="1"/>
    <col min="12554" max="12555" width="14.140625" style="31" customWidth="1"/>
    <col min="12556" max="12556" width="15.140625" style="31" customWidth="1"/>
    <col min="12557" max="12557" width="21.5703125" style="31" customWidth="1"/>
    <col min="12558" max="12799" width="9.140625" style="31"/>
    <col min="12800" max="12800" width="6.5703125" style="31" customWidth="1"/>
    <col min="12801" max="12801" width="35.28515625" style="31" customWidth="1"/>
    <col min="12802" max="12802" width="14" style="31" customWidth="1"/>
    <col min="12803" max="12803" width="11.42578125" style="31" customWidth="1"/>
    <col min="12804" max="12804" width="21.7109375" style="31" customWidth="1"/>
    <col min="12805" max="12805" width="13.7109375" style="31" customWidth="1"/>
    <col min="12806" max="12806" width="14.85546875" style="31" customWidth="1"/>
    <col min="12807" max="12807" width="19.5703125" style="31" customWidth="1"/>
    <col min="12808" max="12808" width="13.7109375" style="31" customWidth="1"/>
    <col min="12809" max="12809" width="14.7109375" style="31" customWidth="1"/>
    <col min="12810" max="12811" width="14.140625" style="31" customWidth="1"/>
    <col min="12812" max="12812" width="15.140625" style="31" customWidth="1"/>
    <col min="12813" max="12813" width="21.5703125" style="31" customWidth="1"/>
    <col min="12814" max="13055" width="9.140625" style="31"/>
    <col min="13056" max="13056" width="6.5703125" style="31" customWidth="1"/>
    <col min="13057" max="13057" width="35.28515625" style="31" customWidth="1"/>
    <col min="13058" max="13058" width="14" style="31" customWidth="1"/>
    <col min="13059" max="13059" width="11.42578125" style="31" customWidth="1"/>
    <col min="13060" max="13060" width="21.7109375" style="31" customWidth="1"/>
    <col min="13061" max="13061" width="13.7109375" style="31" customWidth="1"/>
    <col min="13062" max="13062" width="14.85546875" style="31" customWidth="1"/>
    <col min="13063" max="13063" width="19.5703125" style="31" customWidth="1"/>
    <col min="13064" max="13064" width="13.7109375" style="31" customWidth="1"/>
    <col min="13065" max="13065" width="14.7109375" style="31" customWidth="1"/>
    <col min="13066" max="13067" width="14.140625" style="31" customWidth="1"/>
    <col min="13068" max="13068" width="15.140625" style="31" customWidth="1"/>
    <col min="13069" max="13069" width="21.5703125" style="31" customWidth="1"/>
    <col min="13070" max="13311" width="9.140625" style="31"/>
    <col min="13312" max="13312" width="6.5703125" style="31" customWidth="1"/>
    <col min="13313" max="13313" width="35.28515625" style="31" customWidth="1"/>
    <col min="13314" max="13314" width="14" style="31" customWidth="1"/>
    <col min="13315" max="13315" width="11.42578125" style="31" customWidth="1"/>
    <col min="13316" max="13316" width="21.7109375" style="31" customWidth="1"/>
    <col min="13317" max="13317" width="13.7109375" style="31" customWidth="1"/>
    <col min="13318" max="13318" width="14.85546875" style="31" customWidth="1"/>
    <col min="13319" max="13319" width="19.5703125" style="31" customWidth="1"/>
    <col min="13320" max="13320" width="13.7109375" style="31" customWidth="1"/>
    <col min="13321" max="13321" width="14.7109375" style="31" customWidth="1"/>
    <col min="13322" max="13323" width="14.140625" style="31" customWidth="1"/>
    <col min="13324" max="13324" width="15.140625" style="31" customWidth="1"/>
    <col min="13325" max="13325" width="21.5703125" style="31" customWidth="1"/>
    <col min="13326" max="13567" width="9.140625" style="31"/>
    <col min="13568" max="13568" width="6.5703125" style="31" customWidth="1"/>
    <col min="13569" max="13569" width="35.28515625" style="31" customWidth="1"/>
    <col min="13570" max="13570" width="14" style="31" customWidth="1"/>
    <col min="13571" max="13571" width="11.42578125" style="31" customWidth="1"/>
    <col min="13572" max="13572" width="21.7109375" style="31" customWidth="1"/>
    <col min="13573" max="13573" width="13.7109375" style="31" customWidth="1"/>
    <col min="13574" max="13574" width="14.85546875" style="31" customWidth="1"/>
    <col min="13575" max="13575" width="19.5703125" style="31" customWidth="1"/>
    <col min="13576" max="13576" width="13.7109375" style="31" customWidth="1"/>
    <col min="13577" max="13577" width="14.7109375" style="31" customWidth="1"/>
    <col min="13578" max="13579" width="14.140625" style="31" customWidth="1"/>
    <col min="13580" max="13580" width="15.140625" style="31" customWidth="1"/>
    <col min="13581" max="13581" width="21.5703125" style="31" customWidth="1"/>
    <col min="13582" max="13823" width="9.140625" style="31"/>
    <col min="13824" max="13824" width="6.5703125" style="31" customWidth="1"/>
    <col min="13825" max="13825" width="35.28515625" style="31" customWidth="1"/>
    <col min="13826" max="13826" width="14" style="31" customWidth="1"/>
    <col min="13827" max="13827" width="11.42578125" style="31" customWidth="1"/>
    <col min="13828" max="13828" width="21.7109375" style="31" customWidth="1"/>
    <col min="13829" max="13829" width="13.7109375" style="31" customWidth="1"/>
    <col min="13830" max="13830" width="14.85546875" style="31" customWidth="1"/>
    <col min="13831" max="13831" width="19.5703125" style="31" customWidth="1"/>
    <col min="13832" max="13832" width="13.7109375" style="31" customWidth="1"/>
    <col min="13833" max="13833" width="14.7109375" style="31" customWidth="1"/>
    <col min="13834" max="13835" width="14.140625" style="31" customWidth="1"/>
    <col min="13836" max="13836" width="15.140625" style="31" customWidth="1"/>
    <col min="13837" max="13837" width="21.5703125" style="31" customWidth="1"/>
    <col min="13838" max="14079" width="9.140625" style="31"/>
    <col min="14080" max="14080" width="6.5703125" style="31" customWidth="1"/>
    <col min="14081" max="14081" width="35.28515625" style="31" customWidth="1"/>
    <col min="14082" max="14082" width="14" style="31" customWidth="1"/>
    <col min="14083" max="14083" width="11.42578125" style="31" customWidth="1"/>
    <col min="14084" max="14084" width="21.7109375" style="31" customWidth="1"/>
    <col min="14085" max="14085" width="13.7109375" style="31" customWidth="1"/>
    <col min="14086" max="14086" width="14.85546875" style="31" customWidth="1"/>
    <col min="14087" max="14087" width="19.5703125" style="31" customWidth="1"/>
    <col min="14088" max="14088" width="13.7109375" style="31" customWidth="1"/>
    <col min="14089" max="14089" width="14.7109375" style="31" customWidth="1"/>
    <col min="14090" max="14091" width="14.140625" style="31" customWidth="1"/>
    <col min="14092" max="14092" width="15.140625" style="31" customWidth="1"/>
    <col min="14093" max="14093" width="21.5703125" style="31" customWidth="1"/>
    <col min="14094" max="14335" width="9.140625" style="31"/>
    <col min="14336" max="14336" width="6.5703125" style="31" customWidth="1"/>
    <col min="14337" max="14337" width="35.28515625" style="31" customWidth="1"/>
    <col min="14338" max="14338" width="14" style="31" customWidth="1"/>
    <col min="14339" max="14339" width="11.42578125" style="31" customWidth="1"/>
    <col min="14340" max="14340" width="21.7109375" style="31" customWidth="1"/>
    <col min="14341" max="14341" width="13.7109375" style="31" customWidth="1"/>
    <col min="14342" max="14342" width="14.85546875" style="31" customWidth="1"/>
    <col min="14343" max="14343" width="19.5703125" style="31" customWidth="1"/>
    <col min="14344" max="14344" width="13.7109375" style="31" customWidth="1"/>
    <col min="14345" max="14345" width="14.7109375" style="31" customWidth="1"/>
    <col min="14346" max="14347" width="14.140625" style="31" customWidth="1"/>
    <col min="14348" max="14348" width="15.140625" style="31" customWidth="1"/>
    <col min="14349" max="14349" width="21.5703125" style="31" customWidth="1"/>
    <col min="14350" max="14591" width="9.140625" style="31"/>
    <col min="14592" max="14592" width="6.5703125" style="31" customWidth="1"/>
    <col min="14593" max="14593" width="35.28515625" style="31" customWidth="1"/>
    <col min="14594" max="14594" width="14" style="31" customWidth="1"/>
    <col min="14595" max="14595" width="11.42578125" style="31" customWidth="1"/>
    <col min="14596" max="14596" width="21.7109375" style="31" customWidth="1"/>
    <col min="14597" max="14597" width="13.7109375" style="31" customWidth="1"/>
    <col min="14598" max="14598" width="14.85546875" style="31" customWidth="1"/>
    <col min="14599" max="14599" width="19.5703125" style="31" customWidth="1"/>
    <col min="14600" max="14600" width="13.7109375" style="31" customWidth="1"/>
    <col min="14601" max="14601" width="14.7109375" style="31" customWidth="1"/>
    <col min="14602" max="14603" width="14.140625" style="31" customWidth="1"/>
    <col min="14604" max="14604" width="15.140625" style="31" customWidth="1"/>
    <col min="14605" max="14605" width="21.5703125" style="31" customWidth="1"/>
    <col min="14606" max="14847" width="9.140625" style="31"/>
    <col min="14848" max="14848" width="6.5703125" style="31" customWidth="1"/>
    <col min="14849" max="14849" width="35.28515625" style="31" customWidth="1"/>
    <col min="14850" max="14850" width="14" style="31" customWidth="1"/>
    <col min="14851" max="14851" width="11.42578125" style="31" customWidth="1"/>
    <col min="14852" max="14852" width="21.7109375" style="31" customWidth="1"/>
    <col min="14853" max="14853" width="13.7109375" style="31" customWidth="1"/>
    <col min="14854" max="14854" width="14.85546875" style="31" customWidth="1"/>
    <col min="14855" max="14855" width="19.5703125" style="31" customWidth="1"/>
    <col min="14856" max="14856" width="13.7109375" style="31" customWidth="1"/>
    <col min="14857" max="14857" width="14.7109375" style="31" customWidth="1"/>
    <col min="14858" max="14859" width="14.140625" style="31" customWidth="1"/>
    <col min="14860" max="14860" width="15.140625" style="31" customWidth="1"/>
    <col min="14861" max="14861" width="21.5703125" style="31" customWidth="1"/>
    <col min="14862" max="15103" width="9.140625" style="31"/>
    <col min="15104" max="15104" width="6.5703125" style="31" customWidth="1"/>
    <col min="15105" max="15105" width="35.28515625" style="31" customWidth="1"/>
    <col min="15106" max="15106" width="14" style="31" customWidth="1"/>
    <col min="15107" max="15107" width="11.42578125" style="31" customWidth="1"/>
    <col min="15108" max="15108" width="21.7109375" style="31" customWidth="1"/>
    <col min="15109" max="15109" width="13.7109375" style="31" customWidth="1"/>
    <col min="15110" max="15110" width="14.85546875" style="31" customWidth="1"/>
    <col min="15111" max="15111" width="19.5703125" style="31" customWidth="1"/>
    <col min="15112" max="15112" width="13.7109375" style="31" customWidth="1"/>
    <col min="15113" max="15113" width="14.7109375" style="31" customWidth="1"/>
    <col min="15114" max="15115" width="14.140625" style="31" customWidth="1"/>
    <col min="15116" max="15116" width="15.140625" style="31" customWidth="1"/>
    <col min="15117" max="15117" width="21.5703125" style="31" customWidth="1"/>
    <col min="15118" max="15359" width="9.140625" style="31"/>
    <col min="15360" max="15360" width="6.5703125" style="31" customWidth="1"/>
    <col min="15361" max="15361" width="35.28515625" style="31" customWidth="1"/>
    <col min="15362" max="15362" width="14" style="31" customWidth="1"/>
    <col min="15363" max="15363" width="11.42578125" style="31" customWidth="1"/>
    <col min="15364" max="15364" width="21.7109375" style="31" customWidth="1"/>
    <col min="15365" max="15365" width="13.7109375" style="31" customWidth="1"/>
    <col min="15366" max="15366" width="14.85546875" style="31" customWidth="1"/>
    <col min="15367" max="15367" width="19.5703125" style="31" customWidth="1"/>
    <col min="15368" max="15368" width="13.7109375" style="31" customWidth="1"/>
    <col min="15369" max="15369" width="14.7109375" style="31" customWidth="1"/>
    <col min="15370" max="15371" width="14.140625" style="31" customWidth="1"/>
    <col min="15372" max="15372" width="15.140625" style="31" customWidth="1"/>
    <col min="15373" max="15373" width="21.5703125" style="31" customWidth="1"/>
    <col min="15374" max="15615" width="9.140625" style="31"/>
    <col min="15616" max="15616" width="6.5703125" style="31" customWidth="1"/>
    <col min="15617" max="15617" width="35.28515625" style="31" customWidth="1"/>
    <col min="15618" max="15618" width="14" style="31" customWidth="1"/>
    <col min="15619" max="15619" width="11.42578125" style="31" customWidth="1"/>
    <col min="15620" max="15620" width="21.7109375" style="31" customWidth="1"/>
    <col min="15621" max="15621" width="13.7109375" style="31" customWidth="1"/>
    <col min="15622" max="15622" width="14.85546875" style="31" customWidth="1"/>
    <col min="15623" max="15623" width="19.5703125" style="31" customWidth="1"/>
    <col min="15624" max="15624" width="13.7109375" style="31" customWidth="1"/>
    <col min="15625" max="15625" width="14.7109375" style="31" customWidth="1"/>
    <col min="15626" max="15627" width="14.140625" style="31" customWidth="1"/>
    <col min="15628" max="15628" width="15.140625" style="31" customWidth="1"/>
    <col min="15629" max="15629" width="21.5703125" style="31" customWidth="1"/>
    <col min="15630" max="15871" width="9.140625" style="31"/>
    <col min="15872" max="15872" width="6.5703125" style="31" customWidth="1"/>
    <col min="15873" max="15873" width="35.28515625" style="31" customWidth="1"/>
    <col min="15874" max="15874" width="14" style="31" customWidth="1"/>
    <col min="15875" max="15875" width="11.42578125" style="31" customWidth="1"/>
    <col min="15876" max="15876" width="21.7109375" style="31" customWidth="1"/>
    <col min="15877" max="15877" width="13.7109375" style="31" customWidth="1"/>
    <col min="15878" max="15878" width="14.85546875" style="31" customWidth="1"/>
    <col min="15879" max="15879" width="19.5703125" style="31" customWidth="1"/>
    <col min="15880" max="15880" width="13.7109375" style="31" customWidth="1"/>
    <col min="15881" max="15881" width="14.7109375" style="31" customWidth="1"/>
    <col min="15882" max="15883" width="14.140625" style="31" customWidth="1"/>
    <col min="15884" max="15884" width="15.140625" style="31" customWidth="1"/>
    <col min="15885" max="15885" width="21.5703125" style="31" customWidth="1"/>
    <col min="15886" max="16127" width="9.140625" style="31"/>
    <col min="16128" max="16128" width="6.5703125" style="31" customWidth="1"/>
    <col min="16129" max="16129" width="35.28515625" style="31" customWidth="1"/>
    <col min="16130" max="16130" width="14" style="31" customWidth="1"/>
    <col min="16131" max="16131" width="11.42578125" style="31" customWidth="1"/>
    <col min="16132" max="16132" width="21.7109375" style="31" customWidth="1"/>
    <col min="16133" max="16133" width="13.7109375" style="31" customWidth="1"/>
    <col min="16134" max="16134" width="14.85546875" style="31" customWidth="1"/>
    <col min="16135" max="16135" width="19.5703125" style="31" customWidth="1"/>
    <col min="16136" max="16136" width="13.7109375" style="31" customWidth="1"/>
    <col min="16137" max="16137" width="14.7109375" style="31" customWidth="1"/>
    <col min="16138" max="16139" width="14.140625" style="31" customWidth="1"/>
    <col min="16140" max="16140" width="15.140625" style="31" customWidth="1"/>
    <col min="16141" max="16141" width="21.5703125" style="31" customWidth="1"/>
    <col min="16142" max="16384" width="9.140625" style="31"/>
  </cols>
  <sheetData>
    <row r="1" spans="1:13" ht="49.5" customHeight="1" x14ac:dyDescent="0.25">
      <c r="A1" s="199" t="str">
        <f>'Подпрограмма 6'!A1:U1</f>
        <v>Отчет об использовании денежных средств в рамках исполнения мероприятий подпрограммы 6 "Развитие коммунальной инфраструктуры поселений муниципального района "Заполярный район"
муниципальной программы "Комплексное развитие поселений муниципального района "Заполярный район" на 2017-2019 годы"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24" customHeight="1" x14ac:dyDescent="0.25">
      <c r="A2" s="199" t="str">
        <f>'Подпрограмма 1'!A2:O2</f>
        <v>по состоянию на 01 января 2018  года (с начала года нарастающим итогом)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</row>
    <row r="3" spans="1:13" ht="40.5" customHeight="1" x14ac:dyDescent="0.25">
      <c r="A3" s="193" t="s">
        <v>236</v>
      </c>
      <c r="B3" s="193" t="s">
        <v>237</v>
      </c>
      <c r="C3" s="200" t="s">
        <v>238</v>
      </c>
      <c r="D3" s="201"/>
      <c r="E3" s="193" t="s">
        <v>239</v>
      </c>
      <c r="F3" s="193" t="s">
        <v>240</v>
      </c>
      <c r="G3" s="193" t="s">
        <v>241</v>
      </c>
      <c r="H3" s="193" t="s">
        <v>242</v>
      </c>
      <c r="I3" s="194" t="s">
        <v>243</v>
      </c>
      <c r="J3" s="194" t="s">
        <v>244</v>
      </c>
      <c r="K3" s="193" t="s">
        <v>245</v>
      </c>
      <c r="L3" s="193"/>
      <c r="M3" s="193"/>
    </row>
    <row r="4" spans="1:13" ht="15" customHeight="1" x14ac:dyDescent="0.25">
      <c r="A4" s="193"/>
      <c r="B4" s="193"/>
      <c r="C4" s="194" t="s">
        <v>246</v>
      </c>
      <c r="D4" s="194" t="s">
        <v>247</v>
      </c>
      <c r="E4" s="193"/>
      <c r="F4" s="193"/>
      <c r="G4" s="193"/>
      <c r="H4" s="193"/>
      <c r="I4" s="202"/>
      <c r="J4" s="202"/>
      <c r="K4" s="193" t="s">
        <v>248</v>
      </c>
      <c r="L4" s="194" t="s">
        <v>249</v>
      </c>
      <c r="M4" s="193" t="s">
        <v>250</v>
      </c>
    </row>
    <row r="5" spans="1:13" ht="31.5" customHeight="1" x14ac:dyDescent="0.25">
      <c r="A5" s="193"/>
      <c r="B5" s="193"/>
      <c r="C5" s="195"/>
      <c r="D5" s="195"/>
      <c r="E5" s="193"/>
      <c r="F5" s="193"/>
      <c r="G5" s="193"/>
      <c r="H5" s="193"/>
      <c r="I5" s="195"/>
      <c r="J5" s="195"/>
      <c r="K5" s="193"/>
      <c r="L5" s="195"/>
      <c r="M5" s="193"/>
    </row>
    <row r="6" spans="1:13" x14ac:dyDescent="0.25">
      <c r="A6" s="32">
        <v>1</v>
      </c>
      <c r="B6" s="32">
        <v>2</v>
      </c>
      <c r="C6" s="32">
        <f>B6+1</f>
        <v>3</v>
      </c>
      <c r="D6" s="32">
        <f t="shared" ref="D6:K6" si="0">C6+1</f>
        <v>4</v>
      </c>
      <c r="E6" s="32">
        <v>3</v>
      </c>
      <c r="F6" s="32">
        <v>4</v>
      </c>
      <c r="G6" s="32">
        <v>5</v>
      </c>
      <c r="H6" s="32">
        <f t="shared" si="0"/>
        <v>6</v>
      </c>
      <c r="I6" s="32">
        <f t="shared" si="0"/>
        <v>7</v>
      </c>
      <c r="J6" s="32">
        <f t="shared" si="0"/>
        <v>8</v>
      </c>
      <c r="K6" s="32">
        <f t="shared" si="0"/>
        <v>9</v>
      </c>
      <c r="L6" s="32">
        <v>10</v>
      </c>
      <c r="M6" s="32">
        <v>11</v>
      </c>
    </row>
    <row r="7" spans="1:13" ht="76.5" customHeight="1" x14ac:dyDescent="0.25">
      <c r="A7" s="41">
        <v>1</v>
      </c>
      <c r="B7" s="34" t="str">
        <f>'Подпрограмма 6'!B28</f>
        <v>Приобретение и доставка трактора лесохозяйственного с самосвальным кузовом ОТЗ-392</v>
      </c>
      <c r="C7" s="42">
        <v>42916</v>
      </c>
      <c r="D7" s="42">
        <v>42937</v>
      </c>
      <c r="E7" s="36" t="s">
        <v>428</v>
      </c>
      <c r="F7" s="36" t="s">
        <v>429</v>
      </c>
      <c r="G7" s="36" t="str">
        <f>'Подпрограмма 6'!D28</f>
        <v>УЖКХиС Администрации Заполярного района</v>
      </c>
      <c r="H7" s="64">
        <v>43069</v>
      </c>
      <c r="I7" s="54">
        <v>4179.5</v>
      </c>
      <c r="J7" s="38"/>
      <c r="K7" s="39">
        <f>M7</f>
        <v>4179.5</v>
      </c>
      <c r="L7" s="39"/>
      <c r="M7" s="36">
        <f>'Подпрограмма 6'!O28</f>
        <v>4179.5</v>
      </c>
    </row>
    <row r="8" spans="1:13" ht="69.75" customHeight="1" x14ac:dyDescent="0.25">
      <c r="A8" s="45">
        <v>2</v>
      </c>
      <c r="B8" s="34" t="str">
        <f>'Подпрограмма 6'!B29</f>
        <v>Приобретение и поставка полуприцепа тракторного вакуумного в п. Шойна</v>
      </c>
      <c r="C8" s="47"/>
      <c r="D8" s="47"/>
      <c r="E8" s="224" t="s">
        <v>61</v>
      </c>
      <c r="F8" s="224"/>
      <c r="G8" s="224"/>
      <c r="H8" s="171" t="s">
        <v>381</v>
      </c>
      <c r="I8" s="160">
        <v>296.64</v>
      </c>
      <c r="J8" s="38"/>
      <c r="K8" s="39">
        <f>M8</f>
        <v>296.60000000000002</v>
      </c>
      <c r="L8" s="39"/>
      <c r="M8" s="36">
        <f>'Подпрограмма 6'!O29</f>
        <v>296.60000000000002</v>
      </c>
    </row>
    <row r="9" spans="1:13" x14ac:dyDescent="0.25">
      <c r="A9" s="45"/>
      <c r="B9" s="46"/>
      <c r="C9" s="47"/>
      <c r="D9" s="47"/>
      <c r="E9" s="48"/>
      <c r="F9" s="48"/>
      <c r="G9" s="48"/>
      <c r="H9" s="49"/>
      <c r="I9" s="50"/>
      <c r="J9" s="38"/>
      <c r="K9" s="39"/>
      <c r="L9" s="39"/>
      <c r="M9" s="36"/>
    </row>
    <row r="10" spans="1:13" ht="15.75" customHeight="1" x14ac:dyDescent="0.25">
      <c r="A10" s="196" t="s">
        <v>259</v>
      </c>
      <c r="B10" s="197"/>
      <c r="C10" s="197"/>
      <c r="D10" s="197"/>
      <c r="E10" s="197"/>
      <c r="F10" s="197"/>
      <c r="G10" s="197"/>
      <c r="H10" s="197"/>
      <c r="I10" s="198"/>
      <c r="J10" s="44">
        <f>J7+J9</f>
        <v>0</v>
      </c>
      <c r="K10" s="44">
        <f>SUM(K7:K8)</f>
        <v>4476.1000000000004</v>
      </c>
      <c r="L10" s="44">
        <f t="shared" ref="L10:M10" si="1">SUM(L7:L8)</f>
        <v>0</v>
      </c>
      <c r="M10" s="44">
        <f t="shared" si="1"/>
        <v>4476.1000000000004</v>
      </c>
    </row>
  </sheetData>
  <mergeCells count="19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  <mergeCell ref="D4:D5"/>
    <mergeCell ref="L4:L5"/>
    <mergeCell ref="M4:M5"/>
    <mergeCell ref="A10:I10"/>
    <mergeCell ref="K4:K5"/>
    <mergeCell ref="E8:G8"/>
  </mergeCells>
  <pageMargins left="0.15748031496062992" right="0.15748031496062992" top="0.23622047244094491" bottom="0.31496062992125984" header="0.94488188976377963" footer="0.31496062992125984"/>
  <pageSetup paperSize="9" scale="76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6:G22"/>
  <sheetViews>
    <sheetView workbookViewId="0">
      <selection activeCell="D29" sqref="D29"/>
    </sheetView>
  </sheetViews>
  <sheetFormatPr defaultRowHeight="15" x14ac:dyDescent="0.25"/>
  <cols>
    <col min="4" max="4" width="16" customWidth="1"/>
    <col min="5" max="5" width="11.5703125" customWidth="1"/>
  </cols>
  <sheetData>
    <row r="16" spans="5:7" x14ac:dyDescent="0.25">
      <c r="E16" t="s">
        <v>461</v>
      </c>
      <c r="F16" t="s">
        <v>462</v>
      </c>
      <c r="G16" t="s">
        <v>439</v>
      </c>
    </row>
    <row r="17" spans="3:7" x14ac:dyDescent="0.25">
      <c r="C17" t="s">
        <v>410</v>
      </c>
      <c r="D17">
        <f>'Подпрограмма 1'!E44+'Подпрограмма 2'!E73+'Подпрограмма 3'!E13+'Подпрограмма 4'!E37+'Подпрограмма 5'!E95+'Подпрограмма 6'!E30</f>
        <v>652310.20868000004</v>
      </c>
      <c r="E17">
        <f>'Подпрограмма 1'!F44+'Подпрограмма 2'!F73+'Подпрограмма 4'!F37+'Подпрограмма 5'!G95</f>
        <v>138959.70000000001</v>
      </c>
      <c r="F17">
        <f>'Подпрограмма 1'!G44+'Подпрограмма 2'!G73+'Подпрограмма 3'!H13+'Подпрограмма 4'!G37+'Подпрограмма 5'!H95+'Подпрограмма 6'!H30</f>
        <v>512837.10868</v>
      </c>
      <c r="G17">
        <f>'Подпрограмма 3'!I13+'Подпрограмма 4'!H37+'Подпрограмма 6'!I30</f>
        <v>513.40000000000009</v>
      </c>
    </row>
    <row r="19" spans="3:7" x14ac:dyDescent="0.25">
      <c r="C19" t="s">
        <v>463</v>
      </c>
      <c r="D19">
        <f>'Подпрограмма 1'!H44+'Подпрограмма 2'!H73+'Подпрограмма 3'!J13+'Подпрограмма 4'!I37+'Подпрограмма 5'!I95+'Подпрограмма 6'!J30</f>
        <v>544289.17100000009</v>
      </c>
    </row>
    <row r="22" spans="3:7" x14ac:dyDescent="0.25">
      <c r="D22" s="153">
        <f>D19/D17</f>
        <v>0.83440234992092355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M45"/>
  <sheetViews>
    <sheetView view="pageBreakPreview" zoomScale="90" zoomScaleNormal="100" zoomScaleSheetLayoutView="90" workbookViewId="0">
      <selection activeCell="I11" sqref="I11"/>
    </sheetView>
  </sheetViews>
  <sheetFormatPr defaultRowHeight="15.75" x14ac:dyDescent="0.25"/>
  <cols>
    <col min="1" max="1" width="6.5703125" style="31" customWidth="1"/>
    <col min="2" max="2" width="44.85546875" style="31" customWidth="1"/>
    <col min="3" max="3" width="14" style="31" hidden="1" customWidth="1"/>
    <col min="4" max="4" width="11.42578125" style="31" hidden="1" customWidth="1"/>
    <col min="5" max="5" width="33.85546875" style="31" customWidth="1"/>
    <col min="6" max="6" width="17.42578125" style="31" customWidth="1"/>
    <col min="7" max="7" width="15.7109375" style="31" customWidth="1"/>
    <col min="8" max="8" width="19.5703125" style="31" customWidth="1"/>
    <col min="9" max="9" width="13.7109375" style="31" customWidth="1"/>
    <col min="10" max="10" width="14.7109375" style="31" customWidth="1"/>
    <col min="11" max="12" width="14.140625" style="31" customWidth="1"/>
    <col min="13" max="13" width="15.140625" style="31" customWidth="1"/>
    <col min="14" max="255" width="9.140625" style="31"/>
    <col min="256" max="256" width="6.5703125" style="31" customWidth="1"/>
    <col min="257" max="257" width="35.28515625" style="31" customWidth="1"/>
    <col min="258" max="258" width="14" style="31" customWidth="1"/>
    <col min="259" max="259" width="11.42578125" style="31" customWidth="1"/>
    <col min="260" max="260" width="21.7109375" style="31" customWidth="1"/>
    <col min="261" max="261" width="13.7109375" style="31" customWidth="1"/>
    <col min="262" max="262" width="14.85546875" style="31" customWidth="1"/>
    <col min="263" max="263" width="19.5703125" style="31" customWidth="1"/>
    <col min="264" max="264" width="13.7109375" style="31" customWidth="1"/>
    <col min="265" max="265" width="14.7109375" style="31" customWidth="1"/>
    <col min="266" max="267" width="14.140625" style="31" customWidth="1"/>
    <col min="268" max="268" width="15.140625" style="31" customWidth="1"/>
    <col min="269" max="269" width="21.5703125" style="31" customWidth="1"/>
    <col min="270" max="511" width="9.140625" style="31"/>
    <col min="512" max="512" width="6.5703125" style="31" customWidth="1"/>
    <col min="513" max="513" width="35.28515625" style="31" customWidth="1"/>
    <col min="514" max="514" width="14" style="31" customWidth="1"/>
    <col min="515" max="515" width="11.42578125" style="31" customWidth="1"/>
    <col min="516" max="516" width="21.7109375" style="31" customWidth="1"/>
    <col min="517" max="517" width="13.7109375" style="31" customWidth="1"/>
    <col min="518" max="518" width="14.85546875" style="31" customWidth="1"/>
    <col min="519" max="519" width="19.5703125" style="31" customWidth="1"/>
    <col min="520" max="520" width="13.7109375" style="31" customWidth="1"/>
    <col min="521" max="521" width="14.7109375" style="31" customWidth="1"/>
    <col min="522" max="523" width="14.140625" style="31" customWidth="1"/>
    <col min="524" max="524" width="15.140625" style="31" customWidth="1"/>
    <col min="525" max="525" width="21.5703125" style="31" customWidth="1"/>
    <col min="526" max="767" width="9.140625" style="31"/>
    <col min="768" max="768" width="6.5703125" style="31" customWidth="1"/>
    <col min="769" max="769" width="35.28515625" style="31" customWidth="1"/>
    <col min="770" max="770" width="14" style="31" customWidth="1"/>
    <col min="771" max="771" width="11.42578125" style="31" customWidth="1"/>
    <col min="772" max="772" width="21.7109375" style="31" customWidth="1"/>
    <col min="773" max="773" width="13.7109375" style="31" customWidth="1"/>
    <col min="774" max="774" width="14.85546875" style="31" customWidth="1"/>
    <col min="775" max="775" width="19.5703125" style="31" customWidth="1"/>
    <col min="776" max="776" width="13.7109375" style="31" customWidth="1"/>
    <col min="777" max="777" width="14.7109375" style="31" customWidth="1"/>
    <col min="778" max="779" width="14.140625" style="31" customWidth="1"/>
    <col min="780" max="780" width="15.140625" style="31" customWidth="1"/>
    <col min="781" max="781" width="21.5703125" style="31" customWidth="1"/>
    <col min="782" max="1023" width="9.140625" style="31"/>
    <col min="1024" max="1024" width="6.5703125" style="31" customWidth="1"/>
    <col min="1025" max="1025" width="35.28515625" style="31" customWidth="1"/>
    <col min="1026" max="1026" width="14" style="31" customWidth="1"/>
    <col min="1027" max="1027" width="11.42578125" style="31" customWidth="1"/>
    <col min="1028" max="1028" width="21.7109375" style="31" customWidth="1"/>
    <col min="1029" max="1029" width="13.7109375" style="31" customWidth="1"/>
    <col min="1030" max="1030" width="14.85546875" style="31" customWidth="1"/>
    <col min="1031" max="1031" width="19.5703125" style="31" customWidth="1"/>
    <col min="1032" max="1032" width="13.7109375" style="31" customWidth="1"/>
    <col min="1033" max="1033" width="14.7109375" style="31" customWidth="1"/>
    <col min="1034" max="1035" width="14.140625" style="31" customWidth="1"/>
    <col min="1036" max="1036" width="15.140625" style="31" customWidth="1"/>
    <col min="1037" max="1037" width="21.5703125" style="31" customWidth="1"/>
    <col min="1038" max="1279" width="9.140625" style="31"/>
    <col min="1280" max="1280" width="6.5703125" style="31" customWidth="1"/>
    <col min="1281" max="1281" width="35.28515625" style="31" customWidth="1"/>
    <col min="1282" max="1282" width="14" style="31" customWidth="1"/>
    <col min="1283" max="1283" width="11.42578125" style="31" customWidth="1"/>
    <col min="1284" max="1284" width="21.7109375" style="31" customWidth="1"/>
    <col min="1285" max="1285" width="13.7109375" style="31" customWidth="1"/>
    <col min="1286" max="1286" width="14.85546875" style="31" customWidth="1"/>
    <col min="1287" max="1287" width="19.5703125" style="31" customWidth="1"/>
    <col min="1288" max="1288" width="13.7109375" style="31" customWidth="1"/>
    <col min="1289" max="1289" width="14.7109375" style="31" customWidth="1"/>
    <col min="1290" max="1291" width="14.140625" style="31" customWidth="1"/>
    <col min="1292" max="1292" width="15.140625" style="31" customWidth="1"/>
    <col min="1293" max="1293" width="21.5703125" style="31" customWidth="1"/>
    <col min="1294" max="1535" width="9.140625" style="31"/>
    <col min="1536" max="1536" width="6.5703125" style="31" customWidth="1"/>
    <col min="1537" max="1537" width="35.28515625" style="31" customWidth="1"/>
    <col min="1538" max="1538" width="14" style="31" customWidth="1"/>
    <col min="1539" max="1539" width="11.42578125" style="31" customWidth="1"/>
    <col min="1540" max="1540" width="21.7109375" style="31" customWidth="1"/>
    <col min="1541" max="1541" width="13.7109375" style="31" customWidth="1"/>
    <col min="1542" max="1542" width="14.85546875" style="31" customWidth="1"/>
    <col min="1543" max="1543" width="19.5703125" style="31" customWidth="1"/>
    <col min="1544" max="1544" width="13.7109375" style="31" customWidth="1"/>
    <col min="1545" max="1545" width="14.7109375" style="31" customWidth="1"/>
    <col min="1546" max="1547" width="14.140625" style="31" customWidth="1"/>
    <col min="1548" max="1548" width="15.140625" style="31" customWidth="1"/>
    <col min="1549" max="1549" width="21.5703125" style="31" customWidth="1"/>
    <col min="1550" max="1791" width="9.140625" style="31"/>
    <col min="1792" max="1792" width="6.5703125" style="31" customWidth="1"/>
    <col min="1793" max="1793" width="35.28515625" style="31" customWidth="1"/>
    <col min="1794" max="1794" width="14" style="31" customWidth="1"/>
    <col min="1795" max="1795" width="11.42578125" style="31" customWidth="1"/>
    <col min="1796" max="1796" width="21.7109375" style="31" customWidth="1"/>
    <col min="1797" max="1797" width="13.7109375" style="31" customWidth="1"/>
    <col min="1798" max="1798" width="14.85546875" style="31" customWidth="1"/>
    <col min="1799" max="1799" width="19.5703125" style="31" customWidth="1"/>
    <col min="1800" max="1800" width="13.7109375" style="31" customWidth="1"/>
    <col min="1801" max="1801" width="14.7109375" style="31" customWidth="1"/>
    <col min="1802" max="1803" width="14.140625" style="31" customWidth="1"/>
    <col min="1804" max="1804" width="15.140625" style="31" customWidth="1"/>
    <col min="1805" max="1805" width="21.5703125" style="31" customWidth="1"/>
    <col min="1806" max="2047" width="9.140625" style="31"/>
    <col min="2048" max="2048" width="6.5703125" style="31" customWidth="1"/>
    <col min="2049" max="2049" width="35.28515625" style="31" customWidth="1"/>
    <col min="2050" max="2050" width="14" style="31" customWidth="1"/>
    <col min="2051" max="2051" width="11.42578125" style="31" customWidth="1"/>
    <col min="2052" max="2052" width="21.7109375" style="31" customWidth="1"/>
    <col min="2053" max="2053" width="13.7109375" style="31" customWidth="1"/>
    <col min="2054" max="2054" width="14.85546875" style="31" customWidth="1"/>
    <col min="2055" max="2055" width="19.5703125" style="31" customWidth="1"/>
    <col min="2056" max="2056" width="13.7109375" style="31" customWidth="1"/>
    <col min="2057" max="2057" width="14.7109375" style="31" customWidth="1"/>
    <col min="2058" max="2059" width="14.140625" style="31" customWidth="1"/>
    <col min="2060" max="2060" width="15.140625" style="31" customWidth="1"/>
    <col min="2061" max="2061" width="21.5703125" style="31" customWidth="1"/>
    <col min="2062" max="2303" width="9.140625" style="31"/>
    <col min="2304" max="2304" width="6.5703125" style="31" customWidth="1"/>
    <col min="2305" max="2305" width="35.28515625" style="31" customWidth="1"/>
    <col min="2306" max="2306" width="14" style="31" customWidth="1"/>
    <col min="2307" max="2307" width="11.42578125" style="31" customWidth="1"/>
    <col min="2308" max="2308" width="21.7109375" style="31" customWidth="1"/>
    <col min="2309" max="2309" width="13.7109375" style="31" customWidth="1"/>
    <col min="2310" max="2310" width="14.85546875" style="31" customWidth="1"/>
    <col min="2311" max="2311" width="19.5703125" style="31" customWidth="1"/>
    <col min="2312" max="2312" width="13.7109375" style="31" customWidth="1"/>
    <col min="2313" max="2313" width="14.7109375" style="31" customWidth="1"/>
    <col min="2314" max="2315" width="14.140625" style="31" customWidth="1"/>
    <col min="2316" max="2316" width="15.140625" style="31" customWidth="1"/>
    <col min="2317" max="2317" width="21.5703125" style="31" customWidth="1"/>
    <col min="2318" max="2559" width="9.140625" style="31"/>
    <col min="2560" max="2560" width="6.5703125" style="31" customWidth="1"/>
    <col min="2561" max="2561" width="35.28515625" style="31" customWidth="1"/>
    <col min="2562" max="2562" width="14" style="31" customWidth="1"/>
    <col min="2563" max="2563" width="11.42578125" style="31" customWidth="1"/>
    <col min="2564" max="2564" width="21.7109375" style="31" customWidth="1"/>
    <col min="2565" max="2565" width="13.7109375" style="31" customWidth="1"/>
    <col min="2566" max="2566" width="14.85546875" style="31" customWidth="1"/>
    <col min="2567" max="2567" width="19.5703125" style="31" customWidth="1"/>
    <col min="2568" max="2568" width="13.7109375" style="31" customWidth="1"/>
    <col min="2569" max="2569" width="14.7109375" style="31" customWidth="1"/>
    <col min="2570" max="2571" width="14.140625" style="31" customWidth="1"/>
    <col min="2572" max="2572" width="15.140625" style="31" customWidth="1"/>
    <col min="2573" max="2573" width="21.5703125" style="31" customWidth="1"/>
    <col min="2574" max="2815" width="9.140625" style="31"/>
    <col min="2816" max="2816" width="6.5703125" style="31" customWidth="1"/>
    <col min="2817" max="2817" width="35.28515625" style="31" customWidth="1"/>
    <col min="2818" max="2818" width="14" style="31" customWidth="1"/>
    <col min="2819" max="2819" width="11.42578125" style="31" customWidth="1"/>
    <col min="2820" max="2820" width="21.7109375" style="31" customWidth="1"/>
    <col min="2821" max="2821" width="13.7109375" style="31" customWidth="1"/>
    <col min="2822" max="2822" width="14.85546875" style="31" customWidth="1"/>
    <col min="2823" max="2823" width="19.5703125" style="31" customWidth="1"/>
    <col min="2824" max="2824" width="13.7109375" style="31" customWidth="1"/>
    <col min="2825" max="2825" width="14.7109375" style="31" customWidth="1"/>
    <col min="2826" max="2827" width="14.140625" style="31" customWidth="1"/>
    <col min="2828" max="2828" width="15.140625" style="31" customWidth="1"/>
    <col min="2829" max="2829" width="21.5703125" style="31" customWidth="1"/>
    <col min="2830" max="3071" width="9.140625" style="31"/>
    <col min="3072" max="3072" width="6.5703125" style="31" customWidth="1"/>
    <col min="3073" max="3073" width="35.28515625" style="31" customWidth="1"/>
    <col min="3074" max="3074" width="14" style="31" customWidth="1"/>
    <col min="3075" max="3075" width="11.42578125" style="31" customWidth="1"/>
    <col min="3076" max="3076" width="21.7109375" style="31" customWidth="1"/>
    <col min="3077" max="3077" width="13.7109375" style="31" customWidth="1"/>
    <col min="3078" max="3078" width="14.85546875" style="31" customWidth="1"/>
    <col min="3079" max="3079" width="19.5703125" style="31" customWidth="1"/>
    <col min="3080" max="3080" width="13.7109375" style="31" customWidth="1"/>
    <col min="3081" max="3081" width="14.7109375" style="31" customWidth="1"/>
    <col min="3082" max="3083" width="14.140625" style="31" customWidth="1"/>
    <col min="3084" max="3084" width="15.140625" style="31" customWidth="1"/>
    <col min="3085" max="3085" width="21.5703125" style="31" customWidth="1"/>
    <col min="3086" max="3327" width="9.140625" style="31"/>
    <col min="3328" max="3328" width="6.5703125" style="31" customWidth="1"/>
    <col min="3329" max="3329" width="35.28515625" style="31" customWidth="1"/>
    <col min="3330" max="3330" width="14" style="31" customWidth="1"/>
    <col min="3331" max="3331" width="11.42578125" style="31" customWidth="1"/>
    <col min="3332" max="3332" width="21.7109375" style="31" customWidth="1"/>
    <col min="3333" max="3333" width="13.7109375" style="31" customWidth="1"/>
    <col min="3334" max="3334" width="14.85546875" style="31" customWidth="1"/>
    <col min="3335" max="3335" width="19.5703125" style="31" customWidth="1"/>
    <col min="3336" max="3336" width="13.7109375" style="31" customWidth="1"/>
    <col min="3337" max="3337" width="14.7109375" style="31" customWidth="1"/>
    <col min="3338" max="3339" width="14.140625" style="31" customWidth="1"/>
    <col min="3340" max="3340" width="15.140625" style="31" customWidth="1"/>
    <col min="3341" max="3341" width="21.5703125" style="31" customWidth="1"/>
    <col min="3342" max="3583" width="9.140625" style="31"/>
    <col min="3584" max="3584" width="6.5703125" style="31" customWidth="1"/>
    <col min="3585" max="3585" width="35.28515625" style="31" customWidth="1"/>
    <col min="3586" max="3586" width="14" style="31" customWidth="1"/>
    <col min="3587" max="3587" width="11.42578125" style="31" customWidth="1"/>
    <col min="3588" max="3588" width="21.7109375" style="31" customWidth="1"/>
    <col min="3589" max="3589" width="13.7109375" style="31" customWidth="1"/>
    <col min="3590" max="3590" width="14.85546875" style="31" customWidth="1"/>
    <col min="3591" max="3591" width="19.5703125" style="31" customWidth="1"/>
    <col min="3592" max="3592" width="13.7109375" style="31" customWidth="1"/>
    <col min="3593" max="3593" width="14.7109375" style="31" customWidth="1"/>
    <col min="3594" max="3595" width="14.140625" style="31" customWidth="1"/>
    <col min="3596" max="3596" width="15.140625" style="31" customWidth="1"/>
    <col min="3597" max="3597" width="21.5703125" style="31" customWidth="1"/>
    <col min="3598" max="3839" width="9.140625" style="31"/>
    <col min="3840" max="3840" width="6.5703125" style="31" customWidth="1"/>
    <col min="3841" max="3841" width="35.28515625" style="31" customWidth="1"/>
    <col min="3842" max="3842" width="14" style="31" customWidth="1"/>
    <col min="3843" max="3843" width="11.42578125" style="31" customWidth="1"/>
    <col min="3844" max="3844" width="21.7109375" style="31" customWidth="1"/>
    <col min="3845" max="3845" width="13.7109375" style="31" customWidth="1"/>
    <col min="3846" max="3846" width="14.85546875" style="31" customWidth="1"/>
    <col min="3847" max="3847" width="19.5703125" style="31" customWidth="1"/>
    <col min="3848" max="3848" width="13.7109375" style="31" customWidth="1"/>
    <col min="3849" max="3849" width="14.7109375" style="31" customWidth="1"/>
    <col min="3850" max="3851" width="14.140625" style="31" customWidth="1"/>
    <col min="3852" max="3852" width="15.140625" style="31" customWidth="1"/>
    <col min="3853" max="3853" width="21.5703125" style="31" customWidth="1"/>
    <col min="3854" max="4095" width="9.140625" style="31"/>
    <col min="4096" max="4096" width="6.5703125" style="31" customWidth="1"/>
    <col min="4097" max="4097" width="35.28515625" style="31" customWidth="1"/>
    <col min="4098" max="4098" width="14" style="31" customWidth="1"/>
    <col min="4099" max="4099" width="11.42578125" style="31" customWidth="1"/>
    <col min="4100" max="4100" width="21.7109375" style="31" customWidth="1"/>
    <col min="4101" max="4101" width="13.7109375" style="31" customWidth="1"/>
    <col min="4102" max="4102" width="14.85546875" style="31" customWidth="1"/>
    <col min="4103" max="4103" width="19.5703125" style="31" customWidth="1"/>
    <col min="4104" max="4104" width="13.7109375" style="31" customWidth="1"/>
    <col min="4105" max="4105" width="14.7109375" style="31" customWidth="1"/>
    <col min="4106" max="4107" width="14.140625" style="31" customWidth="1"/>
    <col min="4108" max="4108" width="15.140625" style="31" customWidth="1"/>
    <col min="4109" max="4109" width="21.5703125" style="31" customWidth="1"/>
    <col min="4110" max="4351" width="9.140625" style="31"/>
    <col min="4352" max="4352" width="6.5703125" style="31" customWidth="1"/>
    <col min="4353" max="4353" width="35.28515625" style="31" customWidth="1"/>
    <col min="4354" max="4354" width="14" style="31" customWidth="1"/>
    <col min="4355" max="4355" width="11.42578125" style="31" customWidth="1"/>
    <col min="4356" max="4356" width="21.7109375" style="31" customWidth="1"/>
    <col min="4357" max="4357" width="13.7109375" style="31" customWidth="1"/>
    <col min="4358" max="4358" width="14.85546875" style="31" customWidth="1"/>
    <col min="4359" max="4359" width="19.5703125" style="31" customWidth="1"/>
    <col min="4360" max="4360" width="13.7109375" style="31" customWidth="1"/>
    <col min="4361" max="4361" width="14.7109375" style="31" customWidth="1"/>
    <col min="4362" max="4363" width="14.140625" style="31" customWidth="1"/>
    <col min="4364" max="4364" width="15.140625" style="31" customWidth="1"/>
    <col min="4365" max="4365" width="21.5703125" style="31" customWidth="1"/>
    <col min="4366" max="4607" width="9.140625" style="31"/>
    <col min="4608" max="4608" width="6.5703125" style="31" customWidth="1"/>
    <col min="4609" max="4609" width="35.28515625" style="31" customWidth="1"/>
    <col min="4610" max="4610" width="14" style="31" customWidth="1"/>
    <col min="4611" max="4611" width="11.42578125" style="31" customWidth="1"/>
    <col min="4612" max="4612" width="21.7109375" style="31" customWidth="1"/>
    <col min="4613" max="4613" width="13.7109375" style="31" customWidth="1"/>
    <col min="4614" max="4614" width="14.85546875" style="31" customWidth="1"/>
    <col min="4615" max="4615" width="19.5703125" style="31" customWidth="1"/>
    <col min="4616" max="4616" width="13.7109375" style="31" customWidth="1"/>
    <col min="4617" max="4617" width="14.7109375" style="31" customWidth="1"/>
    <col min="4618" max="4619" width="14.140625" style="31" customWidth="1"/>
    <col min="4620" max="4620" width="15.140625" style="31" customWidth="1"/>
    <col min="4621" max="4621" width="21.5703125" style="31" customWidth="1"/>
    <col min="4622" max="4863" width="9.140625" style="31"/>
    <col min="4864" max="4864" width="6.5703125" style="31" customWidth="1"/>
    <col min="4865" max="4865" width="35.28515625" style="31" customWidth="1"/>
    <col min="4866" max="4866" width="14" style="31" customWidth="1"/>
    <col min="4867" max="4867" width="11.42578125" style="31" customWidth="1"/>
    <col min="4868" max="4868" width="21.7109375" style="31" customWidth="1"/>
    <col min="4869" max="4869" width="13.7109375" style="31" customWidth="1"/>
    <col min="4870" max="4870" width="14.85546875" style="31" customWidth="1"/>
    <col min="4871" max="4871" width="19.5703125" style="31" customWidth="1"/>
    <col min="4872" max="4872" width="13.7109375" style="31" customWidth="1"/>
    <col min="4873" max="4873" width="14.7109375" style="31" customWidth="1"/>
    <col min="4874" max="4875" width="14.140625" style="31" customWidth="1"/>
    <col min="4876" max="4876" width="15.140625" style="31" customWidth="1"/>
    <col min="4877" max="4877" width="21.5703125" style="31" customWidth="1"/>
    <col min="4878" max="5119" width="9.140625" style="31"/>
    <col min="5120" max="5120" width="6.5703125" style="31" customWidth="1"/>
    <col min="5121" max="5121" width="35.28515625" style="31" customWidth="1"/>
    <col min="5122" max="5122" width="14" style="31" customWidth="1"/>
    <col min="5123" max="5123" width="11.42578125" style="31" customWidth="1"/>
    <col min="5124" max="5124" width="21.7109375" style="31" customWidth="1"/>
    <col min="5125" max="5125" width="13.7109375" style="31" customWidth="1"/>
    <col min="5126" max="5126" width="14.85546875" style="31" customWidth="1"/>
    <col min="5127" max="5127" width="19.5703125" style="31" customWidth="1"/>
    <col min="5128" max="5128" width="13.7109375" style="31" customWidth="1"/>
    <col min="5129" max="5129" width="14.7109375" style="31" customWidth="1"/>
    <col min="5130" max="5131" width="14.140625" style="31" customWidth="1"/>
    <col min="5132" max="5132" width="15.140625" style="31" customWidth="1"/>
    <col min="5133" max="5133" width="21.5703125" style="31" customWidth="1"/>
    <col min="5134" max="5375" width="9.140625" style="31"/>
    <col min="5376" max="5376" width="6.5703125" style="31" customWidth="1"/>
    <col min="5377" max="5377" width="35.28515625" style="31" customWidth="1"/>
    <col min="5378" max="5378" width="14" style="31" customWidth="1"/>
    <col min="5379" max="5379" width="11.42578125" style="31" customWidth="1"/>
    <col min="5380" max="5380" width="21.7109375" style="31" customWidth="1"/>
    <col min="5381" max="5381" width="13.7109375" style="31" customWidth="1"/>
    <col min="5382" max="5382" width="14.85546875" style="31" customWidth="1"/>
    <col min="5383" max="5383" width="19.5703125" style="31" customWidth="1"/>
    <col min="5384" max="5384" width="13.7109375" style="31" customWidth="1"/>
    <col min="5385" max="5385" width="14.7109375" style="31" customWidth="1"/>
    <col min="5386" max="5387" width="14.140625" style="31" customWidth="1"/>
    <col min="5388" max="5388" width="15.140625" style="31" customWidth="1"/>
    <col min="5389" max="5389" width="21.5703125" style="31" customWidth="1"/>
    <col min="5390" max="5631" width="9.140625" style="31"/>
    <col min="5632" max="5632" width="6.5703125" style="31" customWidth="1"/>
    <col min="5633" max="5633" width="35.28515625" style="31" customWidth="1"/>
    <col min="5634" max="5634" width="14" style="31" customWidth="1"/>
    <col min="5635" max="5635" width="11.42578125" style="31" customWidth="1"/>
    <col min="5636" max="5636" width="21.7109375" style="31" customWidth="1"/>
    <col min="5637" max="5637" width="13.7109375" style="31" customWidth="1"/>
    <col min="5638" max="5638" width="14.85546875" style="31" customWidth="1"/>
    <col min="5639" max="5639" width="19.5703125" style="31" customWidth="1"/>
    <col min="5640" max="5640" width="13.7109375" style="31" customWidth="1"/>
    <col min="5641" max="5641" width="14.7109375" style="31" customWidth="1"/>
    <col min="5642" max="5643" width="14.140625" style="31" customWidth="1"/>
    <col min="5644" max="5644" width="15.140625" style="31" customWidth="1"/>
    <col min="5645" max="5645" width="21.5703125" style="31" customWidth="1"/>
    <col min="5646" max="5887" width="9.140625" style="31"/>
    <col min="5888" max="5888" width="6.5703125" style="31" customWidth="1"/>
    <col min="5889" max="5889" width="35.28515625" style="31" customWidth="1"/>
    <col min="5890" max="5890" width="14" style="31" customWidth="1"/>
    <col min="5891" max="5891" width="11.42578125" style="31" customWidth="1"/>
    <col min="5892" max="5892" width="21.7109375" style="31" customWidth="1"/>
    <col min="5893" max="5893" width="13.7109375" style="31" customWidth="1"/>
    <col min="5894" max="5894" width="14.85546875" style="31" customWidth="1"/>
    <col min="5895" max="5895" width="19.5703125" style="31" customWidth="1"/>
    <col min="5896" max="5896" width="13.7109375" style="31" customWidth="1"/>
    <col min="5897" max="5897" width="14.7109375" style="31" customWidth="1"/>
    <col min="5898" max="5899" width="14.140625" style="31" customWidth="1"/>
    <col min="5900" max="5900" width="15.140625" style="31" customWidth="1"/>
    <col min="5901" max="5901" width="21.5703125" style="31" customWidth="1"/>
    <col min="5902" max="6143" width="9.140625" style="31"/>
    <col min="6144" max="6144" width="6.5703125" style="31" customWidth="1"/>
    <col min="6145" max="6145" width="35.28515625" style="31" customWidth="1"/>
    <col min="6146" max="6146" width="14" style="31" customWidth="1"/>
    <col min="6147" max="6147" width="11.42578125" style="31" customWidth="1"/>
    <col min="6148" max="6148" width="21.7109375" style="31" customWidth="1"/>
    <col min="6149" max="6149" width="13.7109375" style="31" customWidth="1"/>
    <col min="6150" max="6150" width="14.85546875" style="31" customWidth="1"/>
    <col min="6151" max="6151" width="19.5703125" style="31" customWidth="1"/>
    <col min="6152" max="6152" width="13.7109375" style="31" customWidth="1"/>
    <col min="6153" max="6153" width="14.7109375" style="31" customWidth="1"/>
    <col min="6154" max="6155" width="14.140625" style="31" customWidth="1"/>
    <col min="6156" max="6156" width="15.140625" style="31" customWidth="1"/>
    <col min="6157" max="6157" width="21.5703125" style="31" customWidth="1"/>
    <col min="6158" max="6399" width="9.140625" style="31"/>
    <col min="6400" max="6400" width="6.5703125" style="31" customWidth="1"/>
    <col min="6401" max="6401" width="35.28515625" style="31" customWidth="1"/>
    <col min="6402" max="6402" width="14" style="31" customWidth="1"/>
    <col min="6403" max="6403" width="11.42578125" style="31" customWidth="1"/>
    <col min="6404" max="6404" width="21.7109375" style="31" customWidth="1"/>
    <col min="6405" max="6405" width="13.7109375" style="31" customWidth="1"/>
    <col min="6406" max="6406" width="14.85546875" style="31" customWidth="1"/>
    <col min="6407" max="6407" width="19.5703125" style="31" customWidth="1"/>
    <col min="6408" max="6408" width="13.7109375" style="31" customWidth="1"/>
    <col min="6409" max="6409" width="14.7109375" style="31" customWidth="1"/>
    <col min="6410" max="6411" width="14.140625" style="31" customWidth="1"/>
    <col min="6412" max="6412" width="15.140625" style="31" customWidth="1"/>
    <col min="6413" max="6413" width="21.5703125" style="31" customWidth="1"/>
    <col min="6414" max="6655" width="9.140625" style="31"/>
    <col min="6656" max="6656" width="6.5703125" style="31" customWidth="1"/>
    <col min="6657" max="6657" width="35.28515625" style="31" customWidth="1"/>
    <col min="6658" max="6658" width="14" style="31" customWidth="1"/>
    <col min="6659" max="6659" width="11.42578125" style="31" customWidth="1"/>
    <col min="6660" max="6660" width="21.7109375" style="31" customWidth="1"/>
    <col min="6661" max="6661" width="13.7109375" style="31" customWidth="1"/>
    <col min="6662" max="6662" width="14.85546875" style="31" customWidth="1"/>
    <col min="6663" max="6663" width="19.5703125" style="31" customWidth="1"/>
    <col min="6664" max="6664" width="13.7109375" style="31" customWidth="1"/>
    <col min="6665" max="6665" width="14.7109375" style="31" customWidth="1"/>
    <col min="6666" max="6667" width="14.140625" style="31" customWidth="1"/>
    <col min="6668" max="6668" width="15.140625" style="31" customWidth="1"/>
    <col min="6669" max="6669" width="21.5703125" style="31" customWidth="1"/>
    <col min="6670" max="6911" width="9.140625" style="31"/>
    <col min="6912" max="6912" width="6.5703125" style="31" customWidth="1"/>
    <col min="6913" max="6913" width="35.28515625" style="31" customWidth="1"/>
    <col min="6914" max="6914" width="14" style="31" customWidth="1"/>
    <col min="6915" max="6915" width="11.42578125" style="31" customWidth="1"/>
    <col min="6916" max="6916" width="21.7109375" style="31" customWidth="1"/>
    <col min="6917" max="6917" width="13.7109375" style="31" customWidth="1"/>
    <col min="6918" max="6918" width="14.85546875" style="31" customWidth="1"/>
    <col min="6919" max="6919" width="19.5703125" style="31" customWidth="1"/>
    <col min="6920" max="6920" width="13.7109375" style="31" customWidth="1"/>
    <col min="6921" max="6921" width="14.7109375" style="31" customWidth="1"/>
    <col min="6922" max="6923" width="14.140625" style="31" customWidth="1"/>
    <col min="6924" max="6924" width="15.140625" style="31" customWidth="1"/>
    <col min="6925" max="6925" width="21.5703125" style="31" customWidth="1"/>
    <col min="6926" max="7167" width="9.140625" style="31"/>
    <col min="7168" max="7168" width="6.5703125" style="31" customWidth="1"/>
    <col min="7169" max="7169" width="35.28515625" style="31" customWidth="1"/>
    <col min="7170" max="7170" width="14" style="31" customWidth="1"/>
    <col min="7171" max="7171" width="11.42578125" style="31" customWidth="1"/>
    <col min="7172" max="7172" width="21.7109375" style="31" customWidth="1"/>
    <col min="7173" max="7173" width="13.7109375" style="31" customWidth="1"/>
    <col min="7174" max="7174" width="14.85546875" style="31" customWidth="1"/>
    <col min="7175" max="7175" width="19.5703125" style="31" customWidth="1"/>
    <col min="7176" max="7176" width="13.7109375" style="31" customWidth="1"/>
    <col min="7177" max="7177" width="14.7109375" style="31" customWidth="1"/>
    <col min="7178" max="7179" width="14.140625" style="31" customWidth="1"/>
    <col min="7180" max="7180" width="15.140625" style="31" customWidth="1"/>
    <col min="7181" max="7181" width="21.5703125" style="31" customWidth="1"/>
    <col min="7182" max="7423" width="9.140625" style="31"/>
    <col min="7424" max="7424" width="6.5703125" style="31" customWidth="1"/>
    <col min="7425" max="7425" width="35.28515625" style="31" customWidth="1"/>
    <col min="7426" max="7426" width="14" style="31" customWidth="1"/>
    <col min="7427" max="7427" width="11.42578125" style="31" customWidth="1"/>
    <col min="7428" max="7428" width="21.7109375" style="31" customWidth="1"/>
    <col min="7429" max="7429" width="13.7109375" style="31" customWidth="1"/>
    <col min="7430" max="7430" width="14.85546875" style="31" customWidth="1"/>
    <col min="7431" max="7431" width="19.5703125" style="31" customWidth="1"/>
    <col min="7432" max="7432" width="13.7109375" style="31" customWidth="1"/>
    <col min="7433" max="7433" width="14.7109375" style="31" customWidth="1"/>
    <col min="7434" max="7435" width="14.140625" style="31" customWidth="1"/>
    <col min="7436" max="7436" width="15.140625" style="31" customWidth="1"/>
    <col min="7437" max="7437" width="21.5703125" style="31" customWidth="1"/>
    <col min="7438" max="7679" width="9.140625" style="31"/>
    <col min="7680" max="7680" width="6.5703125" style="31" customWidth="1"/>
    <col min="7681" max="7681" width="35.28515625" style="31" customWidth="1"/>
    <col min="7682" max="7682" width="14" style="31" customWidth="1"/>
    <col min="7683" max="7683" width="11.42578125" style="31" customWidth="1"/>
    <col min="7684" max="7684" width="21.7109375" style="31" customWidth="1"/>
    <col min="7685" max="7685" width="13.7109375" style="31" customWidth="1"/>
    <col min="7686" max="7686" width="14.85546875" style="31" customWidth="1"/>
    <col min="7687" max="7687" width="19.5703125" style="31" customWidth="1"/>
    <col min="7688" max="7688" width="13.7109375" style="31" customWidth="1"/>
    <col min="7689" max="7689" width="14.7109375" style="31" customWidth="1"/>
    <col min="7690" max="7691" width="14.140625" style="31" customWidth="1"/>
    <col min="7692" max="7692" width="15.140625" style="31" customWidth="1"/>
    <col min="7693" max="7693" width="21.5703125" style="31" customWidth="1"/>
    <col min="7694" max="7935" width="9.140625" style="31"/>
    <col min="7936" max="7936" width="6.5703125" style="31" customWidth="1"/>
    <col min="7937" max="7937" width="35.28515625" style="31" customWidth="1"/>
    <col min="7938" max="7938" width="14" style="31" customWidth="1"/>
    <col min="7939" max="7939" width="11.42578125" style="31" customWidth="1"/>
    <col min="7940" max="7940" width="21.7109375" style="31" customWidth="1"/>
    <col min="7941" max="7941" width="13.7109375" style="31" customWidth="1"/>
    <col min="7942" max="7942" width="14.85546875" style="31" customWidth="1"/>
    <col min="7943" max="7943" width="19.5703125" style="31" customWidth="1"/>
    <col min="7944" max="7944" width="13.7109375" style="31" customWidth="1"/>
    <col min="7945" max="7945" width="14.7109375" style="31" customWidth="1"/>
    <col min="7946" max="7947" width="14.140625" style="31" customWidth="1"/>
    <col min="7948" max="7948" width="15.140625" style="31" customWidth="1"/>
    <col min="7949" max="7949" width="21.5703125" style="31" customWidth="1"/>
    <col min="7950" max="8191" width="9.140625" style="31"/>
    <col min="8192" max="8192" width="6.5703125" style="31" customWidth="1"/>
    <col min="8193" max="8193" width="35.28515625" style="31" customWidth="1"/>
    <col min="8194" max="8194" width="14" style="31" customWidth="1"/>
    <col min="8195" max="8195" width="11.42578125" style="31" customWidth="1"/>
    <col min="8196" max="8196" width="21.7109375" style="31" customWidth="1"/>
    <col min="8197" max="8197" width="13.7109375" style="31" customWidth="1"/>
    <col min="8198" max="8198" width="14.85546875" style="31" customWidth="1"/>
    <col min="8199" max="8199" width="19.5703125" style="31" customWidth="1"/>
    <col min="8200" max="8200" width="13.7109375" style="31" customWidth="1"/>
    <col min="8201" max="8201" width="14.7109375" style="31" customWidth="1"/>
    <col min="8202" max="8203" width="14.140625" style="31" customWidth="1"/>
    <col min="8204" max="8204" width="15.140625" style="31" customWidth="1"/>
    <col min="8205" max="8205" width="21.5703125" style="31" customWidth="1"/>
    <col min="8206" max="8447" width="9.140625" style="31"/>
    <col min="8448" max="8448" width="6.5703125" style="31" customWidth="1"/>
    <col min="8449" max="8449" width="35.28515625" style="31" customWidth="1"/>
    <col min="8450" max="8450" width="14" style="31" customWidth="1"/>
    <col min="8451" max="8451" width="11.42578125" style="31" customWidth="1"/>
    <col min="8452" max="8452" width="21.7109375" style="31" customWidth="1"/>
    <col min="8453" max="8453" width="13.7109375" style="31" customWidth="1"/>
    <col min="8454" max="8454" width="14.85546875" style="31" customWidth="1"/>
    <col min="8455" max="8455" width="19.5703125" style="31" customWidth="1"/>
    <col min="8456" max="8456" width="13.7109375" style="31" customWidth="1"/>
    <col min="8457" max="8457" width="14.7109375" style="31" customWidth="1"/>
    <col min="8458" max="8459" width="14.140625" style="31" customWidth="1"/>
    <col min="8460" max="8460" width="15.140625" style="31" customWidth="1"/>
    <col min="8461" max="8461" width="21.5703125" style="31" customWidth="1"/>
    <col min="8462" max="8703" width="9.140625" style="31"/>
    <col min="8704" max="8704" width="6.5703125" style="31" customWidth="1"/>
    <col min="8705" max="8705" width="35.28515625" style="31" customWidth="1"/>
    <col min="8706" max="8706" width="14" style="31" customWidth="1"/>
    <col min="8707" max="8707" width="11.42578125" style="31" customWidth="1"/>
    <col min="8708" max="8708" width="21.7109375" style="31" customWidth="1"/>
    <col min="8709" max="8709" width="13.7109375" style="31" customWidth="1"/>
    <col min="8710" max="8710" width="14.85546875" style="31" customWidth="1"/>
    <col min="8711" max="8711" width="19.5703125" style="31" customWidth="1"/>
    <col min="8712" max="8712" width="13.7109375" style="31" customWidth="1"/>
    <col min="8713" max="8713" width="14.7109375" style="31" customWidth="1"/>
    <col min="8714" max="8715" width="14.140625" style="31" customWidth="1"/>
    <col min="8716" max="8716" width="15.140625" style="31" customWidth="1"/>
    <col min="8717" max="8717" width="21.5703125" style="31" customWidth="1"/>
    <col min="8718" max="8959" width="9.140625" style="31"/>
    <col min="8960" max="8960" width="6.5703125" style="31" customWidth="1"/>
    <col min="8961" max="8961" width="35.28515625" style="31" customWidth="1"/>
    <col min="8962" max="8962" width="14" style="31" customWidth="1"/>
    <col min="8963" max="8963" width="11.42578125" style="31" customWidth="1"/>
    <col min="8964" max="8964" width="21.7109375" style="31" customWidth="1"/>
    <col min="8965" max="8965" width="13.7109375" style="31" customWidth="1"/>
    <col min="8966" max="8966" width="14.85546875" style="31" customWidth="1"/>
    <col min="8967" max="8967" width="19.5703125" style="31" customWidth="1"/>
    <col min="8968" max="8968" width="13.7109375" style="31" customWidth="1"/>
    <col min="8969" max="8969" width="14.7109375" style="31" customWidth="1"/>
    <col min="8970" max="8971" width="14.140625" style="31" customWidth="1"/>
    <col min="8972" max="8972" width="15.140625" style="31" customWidth="1"/>
    <col min="8973" max="8973" width="21.5703125" style="31" customWidth="1"/>
    <col min="8974" max="9215" width="9.140625" style="31"/>
    <col min="9216" max="9216" width="6.5703125" style="31" customWidth="1"/>
    <col min="9217" max="9217" width="35.28515625" style="31" customWidth="1"/>
    <col min="9218" max="9218" width="14" style="31" customWidth="1"/>
    <col min="9219" max="9219" width="11.42578125" style="31" customWidth="1"/>
    <col min="9220" max="9220" width="21.7109375" style="31" customWidth="1"/>
    <col min="9221" max="9221" width="13.7109375" style="31" customWidth="1"/>
    <col min="9222" max="9222" width="14.85546875" style="31" customWidth="1"/>
    <col min="9223" max="9223" width="19.5703125" style="31" customWidth="1"/>
    <col min="9224" max="9224" width="13.7109375" style="31" customWidth="1"/>
    <col min="9225" max="9225" width="14.7109375" style="31" customWidth="1"/>
    <col min="9226" max="9227" width="14.140625" style="31" customWidth="1"/>
    <col min="9228" max="9228" width="15.140625" style="31" customWidth="1"/>
    <col min="9229" max="9229" width="21.5703125" style="31" customWidth="1"/>
    <col min="9230" max="9471" width="9.140625" style="31"/>
    <col min="9472" max="9472" width="6.5703125" style="31" customWidth="1"/>
    <col min="9473" max="9473" width="35.28515625" style="31" customWidth="1"/>
    <col min="9474" max="9474" width="14" style="31" customWidth="1"/>
    <col min="9475" max="9475" width="11.42578125" style="31" customWidth="1"/>
    <col min="9476" max="9476" width="21.7109375" style="31" customWidth="1"/>
    <col min="9477" max="9477" width="13.7109375" style="31" customWidth="1"/>
    <col min="9478" max="9478" width="14.85546875" style="31" customWidth="1"/>
    <col min="9479" max="9479" width="19.5703125" style="31" customWidth="1"/>
    <col min="9480" max="9480" width="13.7109375" style="31" customWidth="1"/>
    <col min="9481" max="9481" width="14.7109375" style="31" customWidth="1"/>
    <col min="9482" max="9483" width="14.140625" style="31" customWidth="1"/>
    <col min="9484" max="9484" width="15.140625" style="31" customWidth="1"/>
    <col min="9485" max="9485" width="21.5703125" style="31" customWidth="1"/>
    <col min="9486" max="9727" width="9.140625" style="31"/>
    <col min="9728" max="9728" width="6.5703125" style="31" customWidth="1"/>
    <col min="9729" max="9729" width="35.28515625" style="31" customWidth="1"/>
    <col min="9730" max="9730" width="14" style="31" customWidth="1"/>
    <col min="9731" max="9731" width="11.42578125" style="31" customWidth="1"/>
    <col min="9732" max="9732" width="21.7109375" style="31" customWidth="1"/>
    <col min="9733" max="9733" width="13.7109375" style="31" customWidth="1"/>
    <col min="9734" max="9734" width="14.85546875" style="31" customWidth="1"/>
    <col min="9735" max="9735" width="19.5703125" style="31" customWidth="1"/>
    <col min="9736" max="9736" width="13.7109375" style="31" customWidth="1"/>
    <col min="9737" max="9737" width="14.7109375" style="31" customWidth="1"/>
    <col min="9738" max="9739" width="14.140625" style="31" customWidth="1"/>
    <col min="9740" max="9740" width="15.140625" style="31" customWidth="1"/>
    <col min="9741" max="9741" width="21.5703125" style="31" customWidth="1"/>
    <col min="9742" max="9983" width="9.140625" style="31"/>
    <col min="9984" max="9984" width="6.5703125" style="31" customWidth="1"/>
    <col min="9985" max="9985" width="35.28515625" style="31" customWidth="1"/>
    <col min="9986" max="9986" width="14" style="31" customWidth="1"/>
    <col min="9987" max="9987" width="11.42578125" style="31" customWidth="1"/>
    <col min="9988" max="9988" width="21.7109375" style="31" customWidth="1"/>
    <col min="9989" max="9989" width="13.7109375" style="31" customWidth="1"/>
    <col min="9990" max="9990" width="14.85546875" style="31" customWidth="1"/>
    <col min="9991" max="9991" width="19.5703125" style="31" customWidth="1"/>
    <col min="9992" max="9992" width="13.7109375" style="31" customWidth="1"/>
    <col min="9993" max="9993" width="14.7109375" style="31" customWidth="1"/>
    <col min="9994" max="9995" width="14.140625" style="31" customWidth="1"/>
    <col min="9996" max="9996" width="15.140625" style="31" customWidth="1"/>
    <col min="9997" max="9997" width="21.5703125" style="31" customWidth="1"/>
    <col min="9998" max="10239" width="9.140625" style="31"/>
    <col min="10240" max="10240" width="6.5703125" style="31" customWidth="1"/>
    <col min="10241" max="10241" width="35.28515625" style="31" customWidth="1"/>
    <col min="10242" max="10242" width="14" style="31" customWidth="1"/>
    <col min="10243" max="10243" width="11.42578125" style="31" customWidth="1"/>
    <col min="10244" max="10244" width="21.7109375" style="31" customWidth="1"/>
    <col min="10245" max="10245" width="13.7109375" style="31" customWidth="1"/>
    <col min="10246" max="10246" width="14.85546875" style="31" customWidth="1"/>
    <col min="10247" max="10247" width="19.5703125" style="31" customWidth="1"/>
    <col min="10248" max="10248" width="13.7109375" style="31" customWidth="1"/>
    <col min="10249" max="10249" width="14.7109375" style="31" customWidth="1"/>
    <col min="10250" max="10251" width="14.140625" style="31" customWidth="1"/>
    <col min="10252" max="10252" width="15.140625" style="31" customWidth="1"/>
    <col min="10253" max="10253" width="21.5703125" style="31" customWidth="1"/>
    <col min="10254" max="10495" width="9.140625" style="31"/>
    <col min="10496" max="10496" width="6.5703125" style="31" customWidth="1"/>
    <col min="10497" max="10497" width="35.28515625" style="31" customWidth="1"/>
    <col min="10498" max="10498" width="14" style="31" customWidth="1"/>
    <col min="10499" max="10499" width="11.42578125" style="31" customWidth="1"/>
    <col min="10500" max="10500" width="21.7109375" style="31" customWidth="1"/>
    <col min="10501" max="10501" width="13.7109375" style="31" customWidth="1"/>
    <col min="10502" max="10502" width="14.85546875" style="31" customWidth="1"/>
    <col min="10503" max="10503" width="19.5703125" style="31" customWidth="1"/>
    <col min="10504" max="10504" width="13.7109375" style="31" customWidth="1"/>
    <col min="10505" max="10505" width="14.7109375" style="31" customWidth="1"/>
    <col min="10506" max="10507" width="14.140625" style="31" customWidth="1"/>
    <col min="10508" max="10508" width="15.140625" style="31" customWidth="1"/>
    <col min="10509" max="10509" width="21.5703125" style="31" customWidth="1"/>
    <col min="10510" max="10751" width="9.140625" style="31"/>
    <col min="10752" max="10752" width="6.5703125" style="31" customWidth="1"/>
    <col min="10753" max="10753" width="35.28515625" style="31" customWidth="1"/>
    <col min="10754" max="10754" width="14" style="31" customWidth="1"/>
    <col min="10755" max="10755" width="11.42578125" style="31" customWidth="1"/>
    <col min="10756" max="10756" width="21.7109375" style="31" customWidth="1"/>
    <col min="10757" max="10757" width="13.7109375" style="31" customWidth="1"/>
    <col min="10758" max="10758" width="14.85546875" style="31" customWidth="1"/>
    <col min="10759" max="10759" width="19.5703125" style="31" customWidth="1"/>
    <col min="10760" max="10760" width="13.7109375" style="31" customWidth="1"/>
    <col min="10761" max="10761" width="14.7109375" style="31" customWidth="1"/>
    <col min="10762" max="10763" width="14.140625" style="31" customWidth="1"/>
    <col min="10764" max="10764" width="15.140625" style="31" customWidth="1"/>
    <col min="10765" max="10765" width="21.5703125" style="31" customWidth="1"/>
    <col min="10766" max="11007" width="9.140625" style="31"/>
    <col min="11008" max="11008" width="6.5703125" style="31" customWidth="1"/>
    <col min="11009" max="11009" width="35.28515625" style="31" customWidth="1"/>
    <col min="11010" max="11010" width="14" style="31" customWidth="1"/>
    <col min="11011" max="11011" width="11.42578125" style="31" customWidth="1"/>
    <col min="11012" max="11012" width="21.7109375" style="31" customWidth="1"/>
    <col min="11013" max="11013" width="13.7109375" style="31" customWidth="1"/>
    <col min="11014" max="11014" width="14.85546875" style="31" customWidth="1"/>
    <col min="11015" max="11015" width="19.5703125" style="31" customWidth="1"/>
    <col min="11016" max="11016" width="13.7109375" style="31" customWidth="1"/>
    <col min="11017" max="11017" width="14.7109375" style="31" customWidth="1"/>
    <col min="11018" max="11019" width="14.140625" style="31" customWidth="1"/>
    <col min="11020" max="11020" width="15.140625" style="31" customWidth="1"/>
    <col min="11021" max="11021" width="21.5703125" style="31" customWidth="1"/>
    <col min="11022" max="11263" width="9.140625" style="31"/>
    <col min="11264" max="11264" width="6.5703125" style="31" customWidth="1"/>
    <col min="11265" max="11265" width="35.28515625" style="31" customWidth="1"/>
    <col min="11266" max="11266" width="14" style="31" customWidth="1"/>
    <col min="11267" max="11267" width="11.42578125" style="31" customWidth="1"/>
    <col min="11268" max="11268" width="21.7109375" style="31" customWidth="1"/>
    <col min="11269" max="11269" width="13.7109375" style="31" customWidth="1"/>
    <col min="11270" max="11270" width="14.85546875" style="31" customWidth="1"/>
    <col min="11271" max="11271" width="19.5703125" style="31" customWidth="1"/>
    <col min="11272" max="11272" width="13.7109375" style="31" customWidth="1"/>
    <col min="11273" max="11273" width="14.7109375" style="31" customWidth="1"/>
    <col min="11274" max="11275" width="14.140625" style="31" customWidth="1"/>
    <col min="11276" max="11276" width="15.140625" style="31" customWidth="1"/>
    <col min="11277" max="11277" width="21.5703125" style="31" customWidth="1"/>
    <col min="11278" max="11519" width="9.140625" style="31"/>
    <col min="11520" max="11520" width="6.5703125" style="31" customWidth="1"/>
    <col min="11521" max="11521" width="35.28515625" style="31" customWidth="1"/>
    <col min="11522" max="11522" width="14" style="31" customWidth="1"/>
    <col min="11523" max="11523" width="11.42578125" style="31" customWidth="1"/>
    <col min="11524" max="11524" width="21.7109375" style="31" customWidth="1"/>
    <col min="11525" max="11525" width="13.7109375" style="31" customWidth="1"/>
    <col min="11526" max="11526" width="14.85546875" style="31" customWidth="1"/>
    <col min="11527" max="11527" width="19.5703125" style="31" customWidth="1"/>
    <col min="11528" max="11528" width="13.7109375" style="31" customWidth="1"/>
    <col min="11529" max="11529" width="14.7109375" style="31" customWidth="1"/>
    <col min="11530" max="11531" width="14.140625" style="31" customWidth="1"/>
    <col min="11532" max="11532" width="15.140625" style="31" customWidth="1"/>
    <col min="11533" max="11533" width="21.5703125" style="31" customWidth="1"/>
    <col min="11534" max="11775" width="9.140625" style="31"/>
    <col min="11776" max="11776" width="6.5703125" style="31" customWidth="1"/>
    <col min="11777" max="11777" width="35.28515625" style="31" customWidth="1"/>
    <col min="11778" max="11778" width="14" style="31" customWidth="1"/>
    <col min="11779" max="11779" width="11.42578125" style="31" customWidth="1"/>
    <col min="11780" max="11780" width="21.7109375" style="31" customWidth="1"/>
    <col min="11781" max="11781" width="13.7109375" style="31" customWidth="1"/>
    <col min="11782" max="11782" width="14.85546875" style="31" customWidth="1"/>
    <col min="11783" max="11783" width="19.5703125" style="31" customWidth="1"/>
    <col min="11784" max="11784" width="13.7109375" style="31" customWidth="1"/>
    <col min="11785" max="11785" width="14.7109375" style="31" customWidth="1"/>
    <col min="11786" max="11787" width="14.140625" style="31" customWidth="1"/>
    <col min="11788" max="11788" width="15.140625" style="31" customWidth="1"/>
    <col min="11789" max="11789" width="21.5703125" style="31" customWidth="1"/>
    <col min="11790" max="12031" width="9.140625" style="31"/>
    <col min="12032" max="12032" width="6.5703125" style="31" customWidth="1"/>
    <col min="12033" max="12033" width="35.28515625" style="31" customWidth="1"/>
    <col min="12034" max="12034" width="14" style="31" customWidth="1"/>
    <col min="12035" max="12035" width="11.42578125" style="31" customWidth="1"/>
    <col min="12036" max="12036" width="21.7109375" style="31" customWidth="1"/>
    <col min="12037" max="12037" width="13.7109375" style="31" customWidth="1"/>
    <col min="12038" max="12038" width="14.85546875" style="31" customWidth="1"/>
    <col min="12039" max="12039" width="19.5703125" style="31" customWidth="1"/>
    <col min="12040" max="12040" width="13.7109375" style="31" customWidth="1"/>
    <col min="12041" max="12041" width="14.7109375" style="31" customWidth="1"/>
    <col min="12042" max="12043" width="14.140625" style="31" customWidth="1"/>
    <col min="12044" max="12044" width="15.140625" style="31" customWidth="1"/>
    <col min="12045" max="12045" width="21.5703125" style="31" customWidth="1"/>
    <col min="12046" max="12287" width="9.140625" style="31"/>
    <col min="12288" max="12288" width="6.5703125" style="31" customWidth="1"/>
    <col min="12289" max="12289" width="35.28515625" style="31" customWidth="1"/>
    <col min="12290" max="12290" width="14" style="31" customWidth="1"/>
    <col min="12291" max="12291" width="11.42578125" style="31" customWidth="1"/>
    <col min="12292" max="12292" width="21.7109375" style="31" customWidth="1"/>
    <col min="12293" max="12293" width="13.7109375" style="31" customWidth="1"/>
    <col min="12294" max="12294" width="14.85546875" style="31" customWidth="1"/>
    <col min="12295" max="12295" width="19.5703125" style="31" customWidth="1"/>
    <col min="12296" max="12296" width="13.7109375" style="31" customWidth="1"/>
    <col min="12297" max="12297" width="14.7109375" style="31" customWidth="1"/>
    <col min="12298" max="12299" width="14.140625" style="31" customWidth="1"/>
    <col min="12300" max="12300" width="15.140625" style="31" customWidth="1"/>
    <col min="12301" max="12301" width="21.5703125" style="31" customWidth="1"/>
    <col min="12302" max="12543" width="9.140625" style="31"/>
    <col min="12544" max="12544" width="6.5703125" style="31" customWidth="1"/>
    <col min="12545" max="12545" width="35.28515625" style="31" customWidth="1"/>
    <col min="12546" max="12546" width="14" style="31" customWidth="1"/>
    <col min="12547" max="12547" width="11.42578125" style="31" customWidth="1"/>
    <col min="12548" max="12548" width="21.7109375" style="31" customWidth="1"/>
    <col min="12549" max="12549" width="13.7109375" style="31" customWidth="1"/>
    <col min="12550" max="12550" width="14.85546875" style="31" customWidth="1"/>
    <col min="12551" max="12551" width="19.5703125" style="31" customWidth="1"/>
    <col min="12552" max="12552" width="13.7109375" style="31" customWidth="1"/>
    <col min="12553" max="12553" width="14.7109375" style="31" customWidth="1"/>
    <col min="12554" max="12555" width="14.140625" style="31" customWidth="1"/>
    <col min="12556" max="12556" width="15.140625" style="31" customWidth="1"/>
    <col min="12557" max="12557" width="21.5703125" style="31" customWidth="1"/>
    <col min="12558" max="12799" width="9.140625" style="31"/>
    <col min="12800" max="12800" width="6.5703125" style="31" customWidth="1"/>
    <col min="12801" max="12801" width="35.28515625" style="31" customWidth="1"/>
    <col min="12802" max="12802" width="14" style="31" customWidth="1"/>
    <col min="12803" max="12803" width="11.42578125" style="31" customWidth="1"/>
    <col min="12804" max="12804" width="21.7109375" style="31" customWidth="1"/>
    <col min="12805" max="12805" width="13.7109375" style="31" customWidth="1"/>
    <col min="12806" max="12806" width="14.85546875" style="31" customWidth="1"/>
    <col min="12807" max="12807" width="19.5703125" style="31" customWidth="1"/>
    <col min="12808" max="12808" width="13.7109375" style="31" customWidth="1"/>
    <col min="12809" max="12809" width="14.7109375" style="31" customWidth="1"/>
    <col min="12810" max="12811" width="14.140625" style="31" customWidth="1"/>
    <col min="12812" max="12812" width="15.140625" style="31" customWidth="1"/>
    <col min="12813" max="12813" width="21.5703125" style="31" customWidth="1"/>
    <col min="12814" max="13055" width="9.140625" style="31"/>
    <col min="13056" max="13056" width="6.5703125" style="31" customWidth="1"/>
    <col min="13057" max="13057" width="35.28515625" style="31" customWidth="1"/>
    <col min="13058" max="13058" width="14" style="31" customWidth="1"/>
    <col min="13059" max="13059" width="11.42578125" style="31" customWidth="1"/>
    <col min="13060" max="13060" width="21.7109375" style="31" customWidth="1"/>
    <col min="13061" max="13061" width="13.7109375" style="31" customWidth="1"/>
    <col min="13062" max="13062" width="14.85546875" style="31" customWidth="1"/>
    <col min="13063" max="13063" width="19.5703125" style="31" customWidth="1"/>
    <col min="13064" max="13064" width="13.7109375" style="31" customWidth="1"/>
    <col min="13065" max="13065" width="14.7109375" style="31" customWidth="1"/>
    <col min="13066" max="13067" width="14.140625" style="31" customWidth="1"/>
    <col min="13068" max="13068" width="15.140625" style="31" customWidth="1"/>
    <col min="13069" max="13069" width="21.5703125" style="31" customWidth="1"/>
    <col min="13070" max="13311" width="9.140625" style="31"/>
    <col min="13312" max="13312" width="6.5703125" style="31" customWidth="1"/>
    <col min="13313" max="13313" width="35.28515625" style="31" customWidth="1"/>
    <col min="13314" max="13314" width="14" style="31" customWidth="1"/>
    <col min="13315" max="13315" width="11.42578125" style="31" customWidth="1"/>
    <col min="13316" max="13316" width="21.7109375" style="31" customWidth="1"/>
    <col min="13317" max="13317" width="13.7109375" style="31" customWidth="1"/>
    <col min="13318" max="13318" width="14.85546875" style="31" customWidth="1"/>
    <col min="13319" max="13319" width="19.5703125" style="31" customWidth="1"/>
    <col min="13320" max="13320" width="13.7109375" style="31" customWidth="1"/>
    <col min="13321" max="13321" width="14.7109375" style="31" customWidth="1"/>
    <col min="13322" max="13323" width="14.140625" style="31" customWidth="1"/>
    <col min="13324" max="13324" width="15.140625" style="31" customWidth="1"/>
    <col min="13325" max="13325" width="21.5703125" style="31" customWidth="1"/>
    <col min="13326" max="13567" width="9.140625" style="31"/>
    <col min="13568" max="13568" width="6.5703125" style="31" customWidth="1"/>
    <col min="13569" max="13569" width="35.28515625" style="31" customWidth="1"/>
    <col min="13570" max="13570" width="14" style="31" customWidth="1"/>
    <col min="13571" max="13571" width="11.42578125" style="31" customWidth="1"/>
    <col min="13572" max="13572" width="21.7109375" style="31" customWidth="1"/>
    <col min="13573" max="13573" width="13.7109375" style="31" customWidth="1"/>
    <col min="13574" max="13574" width="14.85546875" style="31" customWidth="1"/>
    <col min="13575" max="13575" width="19.5703125" style="31" customWidth="1"/>
    <col min="13576" max="13576" width="13.7109375" style="31" customWidth="1"/>
    <col min="13577" max="13577" width="14.7109375" style="31" customWidth="1"/>
    <col min="13578" max="13579" width="14.140625" style="31" customWidth="1"/>
    <col min="13580" max="13580" width="15.140625" style="31" customWidth="1"/>
    <col min="13581" max="13581" width="21.5703125" style="31" customWidth="1"/>
    <col min="13582" max="13823" width="9.140625" style="31"/>
    <col min="13824" max="13824" width="6.5703125" style="31" customWidth="1"/>
    <col min="13825" max="13825" width="35.28515625" style="31" customWidth="1"/>
    <col min="13826" max="13826" width="14" style="31" customWidth="1"/>
    <col min="13827" max="13827" width="11.42578125" style="31" customWidth="1"/>
    <col min="13828" max="13828" width="21.7109375" style="31" customWidth="1"/>
    <col min="13829" max="13829" width="13.7109375" style="31" customWidth="1"/>
    <col min="13830" max="13830" width="14.85546875" style="31" customWidth="1"/>
    <col min="13831" max="13831" width="19.5703125" style="31" customWidth="1"/>
    <col min="13832" max="13832" width="13.7109375" style="31" customWidth="1"/>
    <col min="13833" max="13833" width="14.7109375" style="31" customWidth="1"/>
    <col min="13834" max="13835" width="14.140625" style="31" customWidth="1"/>
    <col min="13836" max="13836" width="15.140625" style="31" customWidth="1"/>
    <col min="13837" max="13837" width="21.5703125" style="31" customWidth="1"/>
    <col min="13838" max="14079" width="9.140625" style="31"/>
    <col min="14080" max="14080" width="6.5703125" style="31" customWidth="1"/>
    <col min="14081" max="14081" width="35.28515625" style="31" customWidth="1"/>
    <col min="14082" max="14082" width="14" style="31" customWidth="1"/>
    <col min="14083" max="14083" width="11.42578125" style="31" customWidth="1"/>
    <col min="14084" max="14084" width="21.7109375" style="31" customWidth="1"/>
    <col min="14085" max="14085" width="13.7109375" style="31" customWidth="1"/>
    <col min="14086" max="14086" width="14.85546875" style="31" customWidth="1"/>
    <col min="14087" max="14087" width="19.5703125" style="31" customWidth="1"/>
    <col min="14088" max="14088" width="13.7109375" style="31" customWidth="1"/>
    <col min="14089" max="14089" width="14.7109375" style="31" customWidth="1"/>
    <col min="14090" max="14091" width="14.140625" style="31" customWidth="1"/>
    <col min="14092" max="14092" width="15.140625" style="31" customWidth="1"/>
    <col min="14093" max="14093" width="21.5703125" style="31" customWidth="1"/>
    <col min="14094" max="14335" width="9.140625" style="31"/>
    <col min="14336" max="14336" width="6.5703125" style="31" customWidth="1"/>
    <col min="14337" max="14337" width="35.28515625" style="31" customWidth="1"/>
    <col min="14338" max="14338" width="14" style="31" customWidth="1"/>
    <col min="14339" max="14339" width="11.42578125" style="31" customWidth="1"/>
    <col min="14340" max="14340" width="21.7109375" style="31" customWidth="1"/>
    <col min="14341" max="14341" width="13.7109375" style="31" customWidth="1"/>
    <col min="14342" max="14342" width="14.85546875" style="31" customWidth="1"/>
    <col min="14343" max="14343" width="19.5703125" style="31" customWidth="1"/>
    <col min="14344" max="14344" width="13.7109375" style="31" customWidth="1"/>
    <col min="14345" max="14345" width="14.7109375" style="31" customWidth="1"/>
    <col min="14346" max="14347" width="14.140625" style="31" customWidth="1"/>
    <col min="14348" max="14348" width="15.140625" style="31" customWidth="1"/>
    <col min="14349" max="14349" width="21.5703125" style="31" customWidth="1"/>
    <col min="14350" max="14591" width="9.140625" style="31"/>
    <col min="14592" max="14592" width="6.5703125" style="31" customWidth="1"/>
    <col min="14593" max="14593" width="35.28515625" style="31" customWidth="1"/>
    <col min="14594" max="14594" width="14" style="31" customWidth="1"/>
    <col min="14595" max="14595" width="11.42578125" style="31" customWidth="1"/>
    <col min="14596" max="14596" width="21.7109375" style="31" customWidth="1"/>
    <col min="14597" max="14597" width="13.7109375" style="31" customWidth="1"/>
    <col min="14598" max="14598" width="14.85546875" style="31" customWidth="1"/>
    <col min="14599" max="14599" width="19.5703125" style="31" customWidth="1"/>
    <col min="14600" max="14600" width="13.7109375" style="31" customWidth="1"/>
    <col min="14601" max="14601" width="14.7109375" style="31" customWidth="1"/>
    <col min="14602" max="14603" width="14.140625" style="31" customWidth="1"/>
    <col min="14604" max="14604" width="15.140625" style="31" customWidth="1"/>
    <col min="14605" max="14605" width="21.5703125" style="31" customWidth="1"/>
    <col min="14606" max="14847" width="9.140625" style="31"/>
    <col min="14848" max="14848" width="6.5703125" style="31" customWidth="1"/>
    <col min="14849" max="14849" width="35.28515625" style="31" customWidth="1"/>
    <col min="14850" max="14850" width="14" style="31" customWidth="1"/>
    <col min="14851" max="14851" width="11.42578125" style="31" customWidth="1"/>
    <col min="14852" max="14852" width="21.7109375" style="31" customWidth="1"/>
    <col min="14853" max="14853" width="13.7109375" style="31" customWidth="1"/>
    <col min="14854" max="14854" width="14.85546875" style="31" customWidth="1"/>
    <col min="14855" max="14855" width="19.5703125" style="31" customWidth="1"/>
    <col min="14856" max="14856" width="13.7109375" style="31" customWidth="1"/>
    <col min="14857" max="14857" width="14.7109375" style="31" customWidth="1"/>
    <col min="14858" max="14859" width="14.140625" style="31" customWidth="1"/>
    <col min="14860" max="14860" width="15.140625" style="31" customWidth="1"/>
    <col min="14861" max="14861" width="21.5703125" style="31" customWidth="1"/>
    <col min="14862" max="15103" width="9.140625" style="31"/>
    <col min="15104" max="15104" width="6.5703125" style="31" customWidth="1"/>
    <col min="15105" max="15105" width="35.28515625" style="31" customWidth="1"/>
    <col min="15106" max="15106" width="14" style="31" customWidth="1"/>
    <col min="15107" max="15107" width="11.42578125" style="31" customWidth="1"/>
    <col min="15108" max="15108" width="21.7109375" style="31" customWidth="1"/>
    <col min="15109" max="15109" width="13.7109375" style="31" customWidth="1"/>
    <col min="15110" max="15110" width="14.85546875" style="31" customWidth="1"/>
    <col min="15111" max="15111" width="19.5703125" style="31" customWidth="1"/>
    <col min="15112" max="15112" width="13.7109375" style="31" customWidth="1"/>
    <col min="15113" max="15113" width="14.7109375" style="31" customWidth="1"/>
    <col min="15114" max="15115" width="14.140625" style="31" customWidth="1"/>
    <col min="15116" max="15116" width="15.140625" style="31" customWidth="1"/>
    <col min="15117" max="15117" width="21.5703125" style="31" customWidth="1"/>
    <col min="15118" max="15359" width="9.140625" style="31"/>
    <col min="15360" max="15360" width="6.5703125" style="31" customWidth="1"/>
    <col min="15361" max="15361" width="35.28515625" style="31" customWidth="1"/>
    <col min="15362" max="15362" width="14" style="31" customWidth="1"/>
    <col min="15363" max="15363" width="11.42578125" style="31" customWidth="1"/>
    <col min="15364" max="15364" width="21.7109375" style="31" customWidth="1"/>
    <col min="15365" max="15365" width="13.7109375" style="31" customWidth="1"/>
    <col min="15366" max="15366" width="14.85546875" style="31" customWidth="1"/>
    <col min="15367" max="15367" width="19.5703125" style="31" customWidth="1"/>
    <col min="15368" max="15368" width="13.7109375" style="31" customWidth="1"/>
    <col min="15369" max="15369" width="14.7109375" style="31" customWidth="1"/>
    <col min="15370" max="15371" width="14.140625" style="31" customWidth="1"/>
    <col min="15372" max="15372" width="15.140625" style="31" customWidth="1"/>
    <col min="15373" max="15373" width="21.5703125" style="31" customWidth="1"/>
    <col min="15374" max="15615" width="9.140625" style="31"/>
    <col min="15616" max="15616" width="6.5703125" style="31" customWidth="1"/>
    <col min="15617" max="15617" width="35.28515625" style="31" customWidth="1"/>
    <col min="15618" max="15618" width="14" style="31" customWidth="1"/>
    <col min="15619" max="15619" width="11.42578125" style="31" customWidth="1"/>
    <col min="15620" max="15620" width="21.7109375" style="31" customWidth="1"/>
    <col min="15621" max="15621" width="13.7109375" style="31" customWidth="1"/>
    <col min="15622" max="15622" width="14.85546875" style="31" customWidth="1"/>
    <col min="15623" max="15623" width="19.5703125" style="31" customWidth="1"/>
    <col min="15624" max="15624" width="13.7109375" style="31" customWidth="1"/>
    <col min="15625" max="15625" width="14.7109375" style="31" customWidth="1"/>
    <col min="15626" max="15627" width="14.140625" style="31" customWidth="1"/>
    <col min="15628" max="15628" width="15.140625" style="31" customWidth="1"/>
    <col min="15629" max="15629" width="21.5703125" style="31" customWidth="1"/>
    <col min="15630" max="15871" width="9.140625" style="31"/>
    <col min="15872" max="15872" width="6.5703125" style="31" customWidth="1"/>
    <col min="15873" max="15873" width="35.28515625" style="31" customWidth="1"/>
    <col min="15874" max="15874" width="14" style="31" customWidth="1"/>
    <col min="15875" max="15875" width="11.42578125" style="31" customWidth="1"/>
    <col min="15876" max="15876" width="21.7109375" style="31" customWidth="1"/>
    <col min="15877" max="15877" width="13.7109375" style="31" customWidth="1"/>
    <col min="15878" max="15878" width="14.85546875" style="31" customWidth="1"/>
    <col min="15879" max="15879" width="19.5703125" style="31" customWidth="1"/>
    <col min="15880" max="15880" width="13.7109375" style="31" customWidth="1"/>
    <col min="15881" max="15881" width="14.7109375" style="31" customWidth="1"/>
    <col min="15882" max="15883" width="14.140625" style="31" customWidth="1"/>
    <col min="15884" max="15884" width="15.140625" style="31" customWidth="1"/>
    <col min="15885" max="15885" width="21.5703125" style="31" customWidth="1"/>
    <col min="15886" max="16127" width="9.140625" style="31"/>
    <col min="16128" max="16128" width="6.5703125" style="31" customWidth="1"/>
    <col min="16129" max="16129" width="35.28515625" style="31" customWidth="1"/>
    <col min="16130" max="16130" width="14" style="31" customWidth="1"/>
    <col min="16131" max="16131" width="11.42578125" style="31" customWidth="1"/>
    <col min="16132" max="16132" width="21.7109375" style="31" customWidth="1"/>
    <col min="16133" max="16133" width="13.7109375" style="31" customWidth="1"/>
    <col min="16134" max="16134" width="14.85546875" style="31" customWidth="1"/>
    <col min="16135" max="16135" width="19.5703125" style="31" customWidth="1"/>
    <col min="16136" max="16136" width="13.7109375" style="31" customWidth="1"/>
    <col min="16137" max="16137" width="14.7109375" style="31" customWidth="1"/>
    <col min="16138" max="16139" width="14.140625" style="31" customWidth="1"/>
    <col min="16140" max="16140" width="15.140625" style="31" customWidth="1"/>
    <col min="16141" max="16141" width="21.5703125" style="31" customWidth="1"/>
    <col min="16142" max="16384" width="9.140625" style="31"/>
  </cols>
  <sheetData>
    <row r="1" spans="1:13" ht="36" customHeight="1" x14ac:dyDescent="0.25">
      <c r="A1" s="199" t="str">
        <f>'Подпрограмма 1'!A1:O1</f>
        <v>Отчет об использовании денежных средств в рамках исполнения мероприятий подпрограммы 1  "Строительство (приобретение) и проведение мероприятий по капитальному и текущему ремонту жилых помещений муниципального района "Заполярный район" муниципальной программы "Комплексное развитие поселений муниципального района "Заполярный район" на 2017-2019 годы"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24" customHeight="1" x14ac:dyDescent="0.25">
      <c r="A2" s="199" t="str">
        <f>'Подпрограмма 1'!A2:O2</f>
        <v>по состоянию на 01 января 2018  года (с начала года нарастающим итогом)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</row>
    <row r="3" spans="1:13" ht="28.5" customHeight="1" x14ac:dyDescent="0.25">
      <c r="A3" s="193" t="s">
        <v>236</v>
      </c>
      <c r="B3" s="193" t="s">
        <v>237</v>
      </c>
      <c r="C3" s="200" t="s">
        <v>238</v>
      </c>
      <c r="D3" s="201"/>
      <c r="E3" s="193" t="s">
        <v>239</v>
      </c>
      <c r="F3" s="193" t="s">
        <v>240</v>
      </c>
      <c r="G3" s="193" t="s">
        <v>241</v>
      </c>
      <c r="H3" s="193" t="s">
        <v>242</v>
      </c>
      <c r="I3" s="194" t="s">
        <v>243</v>
      </c>
      <c r="J3" s="194" t="s">
        <v>244</v>
      </c>
      <c r="K3" s="193" t="s">
        <v>245</v>
      </c>
      <c r="L3" s="193"/>
      <c r="M3" s="193"/>
    </row>
    <row r="4" spans="1:13" ht="15" customHeight="1" x14ac:dyDescent="0.25">
      <c r="A4" s="193"/>
      <c r="B4" s="193"/>
      <c r="C4" s="194" t="s">
        <v>246</v>
      </c>
      <c r="D4" s="194" t="s">
        <v>247</v>
      </c>
      <c r="E4" s="193"/>
      <c r="F4" s="193"/>
      <c r="G4" s="193"/>
      <c r="H4" s="193"/>
      <c r="I4" s="202"/>
      <c r="J4" s="202"/>
      <c r="K4" s="193" t="s">
        <v>248</v>
      </c>
      <c r="L4" s="194" t="s">
        <v>249</v>
      </c>
      <c r="M4" s="193" t="s">
        <v>250</v>
      </c>
    </row>
    <row r="5" spans="1:13" ht="31.5" customHeight="1" x14ac:dyDescent="0.25">
      <c r="A5" s="193"/>
      <c r="B5" s="193"/>
      <c r="C5" s="195"/>
      <c r="D5" s="195"/>
      <c r="E5" s="193"/>
      <c r="F5" s="193"/>
      <c r="G5" s="193"/>
      <c r="H5" s="193"/>
      <c r="I5" s="195"/>
      <c r="J5" s="195"/>
      <c r="K5" s="193"/>
      <c r="L5" s="195"/>
      <c r="M5" s="193"/>
    </row>
    <row r="6" spans="1:13" x14ac:dyDescent="0.25">
      <c r="A6" s="32">
        <v>1</v>
      </c>
      <c r="B6" s="32">
        <v>2</v>
      </c>
      <c r="C6" s="32">
        <f>B6+1</f>
        <v>3</v>
      </c>
      <c r="D6" s="32">
        <f t="shared" ref="D6:K6" si="0">C6+1</f>
        <v>4</v>
      </c>
      <c r="E6" s="32">
        <v>3</v>
      </c>
      <c r="F6" s="32">
        <v>4</v>
      </c>
      <c r="G6" s="32">
        <v>5</v>
      </c>
      <c r="H6" s="32">
        <v>6</v>
      </c>
      <c r="I6" s="32">
        <f t="shared" si="0"/>
        <v>7</v>
      </c>
      <c r="J6" s="32">
        <f t="shared" si="0"/>
        <v>8</v>
      </c>
      <c r="K6" s="32">
        <f t="shared" si="0"/>
        <v>9</v>
      </c>
      <c r="L6" s="32">
        <v>12</v>
      </c>
      <c r="M6" s="32">
        <v>13</v>
      </c>
    </row>
    <row r="7" spans="1:13" s="40" customFormat="1" ht="31.5" x14ac:dyDescent="0.25">
      <c r="A7" s="33"/>
      <c r="B7" s="33" t="str">
        <f>'Подпрограмма 1'!B6</f>
        <v>Раздел 1. Строительство (приобретение) жилья</v>
      </c>
      <c r="C7" s="35"/>
      <c r="D7" s="35"/>
      <c r="E7" s="36"/>
      <c r="F7" s="36"/>
      <c r="G7" s="36"/>
      <c r="H7" s="37"/>
      <c r="I7" s="38"/>
      <c r="J7" s="38"/>
      <c r="K7" s="39"/>
      <c r="L7" s="39"/>
      <c r="M7" s="36"/>
    </row>
    <row r="8" spans="1:13" s="40" customFormat="1" ht="31.5" x14ac:dyDescent="0.25">
      <c r="A8" s="33" t="str">
        <f>'Подпрограмма 1'!A7</f>
        <v>1.1</v>
      </c>
      <c r="B8" s="36" t="str">
        <f>'Подпрограмма 1'!B7</f>
        <v>Завершение строительства объекта «4-квартирный жилой дом в д. Куя»</v>
      </c>
      <c r="C8" s="35" t="s">
        <v>329</v>
      </c>
      <c r="D8" s="35" t="s">
        <v>330</v>
      </c>
      <c r="E8" s="36" t="s">
        <v>261</v>
      </c>
      <c r="F8" s="36" t="s">
        <v>260</v>
      </c>
      <c r="G8" s="36" t="s">
        <v>3</v>
      </c>
      <c r="H8" s="43">
        <v>43100</v>
      </c>
      <c r="I8" s="51">
        <v>13791.7</v>
      </c>
      <c r="J8" s="38"/>
      <c r="K8" s="111">
        <f>3991.3+M8</f>
        <v>13791.8</v>
      </c>
      <c r="L8" s="39"/>
      <c r="M8" s="54">
        <f>'Подпрограмма 1'!K7</f>
        <v>9800.5</v>
      </c>
    </row>
    <row r="9" spans="1:13" s="40" customFormat="1" ht="63" x14ac:dyDescent="0.25">
      <c r="A9" s="33" t="str">
        <f>'Подпрограмма 1'!A8</f>
        <v>1.2</v>
      </c>
      <c r="B9" s="36" t="str">
        <f>'Подпрограмма 1'!B8</f>
        <v>Завершение строительства объекта «12-квартирный жилой дом в п. Харута НАО»</v>
      </c>
      <c r="C9" s="35" t="s">
        <v>327</v>
      </c>
      <c r="D9" s="35" t="s">
        <v>328</v>
      </c>
      <c r="E9" s="36" t="s">
        <v>325</v>
      </c>
      <c r="F9" s="36" t="s">
        <v>326</v>
      </c>
      <c r="G9" s="36" t="str">
        <f>'Подпрограмма 1'!D8</f>
        <v>МКУ ЗР "Северное"</v>
      </c>
      <c r="H9" s="43">
        <v>43055</v>
      </c>
      <c r="I9" s="51">
        <v>1253</v>
      </c>
      <c r="J9" s="38"/>
      <c r="K9" s="111">
        <f>M9</f>
        <v>1190.3</v>
      </c>
      <c r="L9" s="39"/>
      <c r="M9" s="54">
        <f>'Подпрограмма 1'!K8</f>
        <v>1190.3</v>
      </c>
    </row>
    <row r="10" spans="1:13" s="40" customFormat="1" ht="47.25" x14ac:dyDescent="0.25">
      <c r="A10" s="33" t="str">
        <f>'Подпрограмма 1'!A9</f>
        <v>1.3</v>
      </c>
      <c r="B10" s="36" t="str">
        <f>'Подпрограмма 1'!B9</f>
        <v>Завершение строительства объекта «12-квартирный  жилой дом МО «Тельвисочный сельсовет» НАО»</v>
      </c>
      <c r="C10" s="35" t="s">
        <v>287</v>
      </c>
      <c r="D10" s="35" t="s">
        <v>286</v>
      </c>
      <c r="E10" s="36" t="s">
        <v>285</v>
      </c>
      <c r="F10" s="36" t="s">
        <v>284</v>
      </c>
      <c r="G10" s="36" t="s">
        <v>3</v>
      </c>
      <c r="H10" s="43">
        <v>43084</v>
      </c>
      <c r="I10" s="51">
        <v>15300</v>
      </c>
      <c r="J10" s="38"/>
      <c r="K10" s="111">
        <f>M10</f>
        <v>15299.94</v>
      </c>
      <c r="L10" s="39"/>
      <c r="M10" s="54">
        <f>'Подпрограмма 1'!K9</f>
        <v>15299.94</v>
      </c>
    </row>
    <row r="11" spans="1:13" s="40" customFormat="1" ht="63" x14ac:dyDescent="0.25">
      <c r="A11" s="33" t="str">
        <f>'Подпрограмма 1'!A10</f>
        <v>1.4</v>
      </c>
      <c r="B11" s="36" t="str">
        <f>'Подпрограмма 1'!B10</f>
        <v>Завершение строительства объектов «4-х квартирный жилой дом № 1 в п. Индига» и «4-х квартирный жилой дом № 2 в п. Индига»</v>
      </c>
      <c r="C11" s="35" t="s">
        <v>291</v>
      </c>
      <c r="D11" s="53" t="s">
        <v>290</v>
      </c>
      <c r="E11" s="59" t="s">
        <v>289</v>
      </c>
      <c r="F11" s="36" t="s">
        <v>288</v>
      </c>
      <c r="G11" s="36" t="s">
        <v>3</v>
      </c>
      <c r="H11" s="43">
        <v>42735</v>
      </c>
      <c r="I11" s="51">
        <v>16580.3</v>
      </c>
      <c r="J11" s="38"/>
      <c r="K11" s="111">
        <f>11737.5+M11</f>
        <v>16580.400000000001</v>
      </c>
      <c r="L11" s="39"/>
      <c r="M11" s="54">
        <f>'Подпрограмма 1'!K10</f>
        <v>4842.8999999999996</v>
      </c>
    </row>
    <row r="12" spans="1:13" s="40" customFormat="1" ht="31.5" x14ac:dyDescent="0.25">
      <c r="A12" s="33"/>
      <c r="B12" s="33" t="str">
        <f>'Подпрограмма 1'!B11</f>
        <v>Раздел 2. Капитальный и текущий ремонт жилых домов</v>
      </c>
      <c r="C12" s="35"/>
      <c r="D12" s="35"/>
      <c r="E12" s="36"/>
      <c r="F12" s="36"/>
      <c r="G12" s="36"/>
      <c r="H12" s="43"/>
      <c r="I12" s="51"/>
      <c r="J12" s="38"/>
      <c r="K12" s="111"/>
      <c r="L12" s="39"/>
      <c r="M12" s="54"/>
    </row>
    <row r="13" spans="1:13" s="40" customFormat="1" ht="63" x14ac:dyDescent="0.25">
      <c r="A13" s="33" t="str">
        <f>'Подпрограмма 1'!A12</f>
        <v>1.5</v>
      </c>
      <c r="B13" s="36" t="str">
        <f>'Подпрограмма 1'!B12</f>
        <v>Капитальный ремонт жилого дома № 29 по ул. Морская в п. Индига МО "Тиманский сельсовет" НАО</v>
      </c>
      <c r="C13" s="35" t="s">
        <v>332</v>
      </c>
      <c r="D13" s="35" t="s">
        <v>333</v>
      </c>
      <c r="E13" s="36" t="s">
        <v>331</v>
      </c>
      <c r="F13" s="36" t="s">
        <v>334</v>
      </c>
      <c r="G13" s="36" t="str">
        <f>'Подпрограмма 1'!D12</f>
        <v>Администрация поселения НАО</v>
      </c>
      <c r="H13" s="43">
        <v>43059</v>
      </c>
      <c r="I13" s="51">
        <v>2955</v>
      </c>
      <c r="J13" s="38"/>
      <c r="K13" s="111">
        <f>M13</f>
        <v>3359.2</v>
      </c>
      <c r="L13" s="39"/>
      <c r="M13" s="54">
        <f>'Подпрограмма 1'!K12</f>
        <v>3359.2</v>
      </c>
    </row>
    <row r="14" spans="1:13" s="40" customFormat="1" ht="47.25" x14ac:dyDescent="0.25">
      <c r="A14" s="33" t="str">
        <f>'Подпрограмма 1'!A13</f>
        <v>1.6</v>
      </c>
      <c r="B14" s="36" t="str">
        <f>'Подпрограмма 1'!B13</f>
        <v>Капитальный ремонт жилого дома № 4 по ул. Северная в п. Красное МО "Приморско-Куйский сельсовет" НАО</v>
      </c>
      <c r="C14" s="35" t="s">
        <v>336</v>
      </c>
      <c r="D14" s="35" t="s">
        <v>337</v>
      </c>
      <c r="E14" s="36" t="s">
        <v>335</v>
      </c>
      <c r="F14" s="36" t="s">
        <v>338</v>
      </c>
      <c r="G14" s="36" t="str">
        <f>'Подпрограмма 1'!D13</f>
        <v>Администрация поселения НАО</v>
      </c>
      <c r="H14" s="43">
        <v>43008</v>
      </c>
      <c r="I14" s="51">
        <v>421.5</v>
      </c>
      <c r="J14" s="38"/>
      <c r="K14" s="111">
        <f t="shared" ref="K14:K44" si="1">M14</f>
        <v>633.79999999999995</v>
      </c>
      <c r="L14" s="39"/>
      <c r="M14" s="54">
        <f>'Подпрограмма 1'!K13</f>
        <v>633.79999999999995</v>
      </c>
    </row>
    <row r="15" spans="1:13" s="40" customFormat="1" ht="63" x14ac:dyDescent="0.25">
      <c r="A15" s="33" t="str">
        <f>'Подпрограмма 1'!A14</f>
        <v>1.7</v>
      </c>
      <c r="B15" s="36" t="str">
        <f>'Подпрограмма 1'!B14</f>
        <v>Капитальный ремонт жилого дома № 45 в п. Хонгурей МО "Пустозерский сельсовет" НАО</v>
      </c>
      <c r="C15" s="35" t="s">
        <v>339</v>
      </c>
      <c r="D15" s="35" t="s">
        <v>340</v>
      </c>
      <c r="E15" s="55" t="s">
        <v>482</v>
      </c>
      <c r="F15" s="36" t="s">
        <v>486</v>
      </c>
      <c r="G15" s="36" t="str">
        <f>'Подпрограмма 1'!D14</f>
        <v>Администрация поселения НАО</v>
      </c>
      <c r="H15" s="43" t="s">
        <v>483</v>
      </c>
      <c r="I15" s="51">
        <f>1363.7+320.9</f>
        <v>1684.6</v>
      </c>
      <c r="J15" s="38"/>
      <c r="K15" s="111">
        <f t="shared" si="1"/>
        <v>1684.5</v>
      </c>
      <c r="L15" s="39"/>
      <c r="M15" s="54">
        <f>'Подпрограмма 1'!K14</f>
        <v>1684.5</v>
      </c>
    </row>
    <row r="16" spans="1:13" s="40" customFormat="1" ht="63" x14ac:dyDescent="0.25">
      <c r="A16" s="33" t="str">
        <f>'Подпрограмма 1'!A15</f>
        <v>1.8</v>
      </c>
      <c r="B16" s="36" t="str">
        <f>'Подпрограмма 1'!B15</f>
        <v>Капитальный ремонт жилого дома № 63 в д. Каменка МО "Пустозерский сельсовет" НАО</v>
      </c>
      <c r="C16" s="35" t="s">
        <v>342</v>
      </c>
      <c r="D16" s="35" t="s">
        <v>340</v>
      </c>
      <c r="E16" s="36" t="s">
        <v>485</v>
      </c>
      <c r="F16" s="36" t="s">
        <v>487</v>
      </c>
      <c r="G16" s="36" t="str">
        <f>'Подпрограмма 1'!D15</f>
        <v>Администрация поселения НАО</v>
      </c>
      <c r="H16" s="43" t="s">
        <v>484</v>
      </c>
      <c r="I16" s="51">
        <f>1081.3+765.3</f>
        <v>1846.6</v>
      </c>
      <c r="J16" s="38"/>
      <c r="K16" s="111">
        <f t="shared" si="1"/>
        <v>1846.6</v>
      </c>
      <c r="L16" s="39"/>
      <c r="M16" s="54">
        <f>'Подпрограмма 1'!K15</f>
        <v>1846.6</v>
      </c>
    </row>
    <row r="17" spans="1:13" s="40" customFormat="1" ht="63" x14ac:dyDescent="0.25">
      <c r="A17" s="33" t="str">
        <f>'Подпрограмма 1'!A16</f>
        <v>1.9</v>
      </c>
      <c r="B17" s="36" t="str">
        <f>'Подпрограмма 1'!B16</f>
        <v>Капитальный ремонт многоквартирного жилого дома № 156 по ул. Новая в п. Индига МО "Тиманский сельсовет" НАО</v>
      </c>
      <c r="C17" s="35" t="s">
        <v>344</v>
      </c>
      <c r="D17" s="35" t="s">
        <v>345</v>
      </c>
      <c r="E17" s="36" t="s">
        <v>343</v>
      </c>
      <c r="F17" s="36" t="s">
        <v>341</v>
      </c>
      <c r="G17" s="36" t="str">
        <f>'Подпрограмма 1'!D16</f>
        <v>Администрация поселения НАО</v>
      </c>
      <c r="H17" s="43">
        <v>43069</v>
      </c>
      <c r="I17" s="51">
        <v>3495.9</v>
      </c>
      <c r="J17" s="38"/>
      <c r="K17" s="111">
        <f t="shared" si="1"/>
        <v>3826.8</v>
      </c>
      <c r="L17" s="39"/>
      <c r="M17" s="54">
        <f>'Подпрограмма 1'!K16</f>
        <v>3826.8</v>
      </c>
    </row>
    <row r="18" spans="1:13" s="40" customFormat="1" ht="31.5" x14ac:dyDescent="0.25">
      <c r="A18" s="33" t="str">
        <f>'Подпрограмма 1'!A17</f>
        <v>1.10</v>
      </c>
      <c r="B18" s="36" t="str">
        <f>'Подпрограмма 1'!B17</f>
        <v>Ремонт 12-квартирного жилого дома № 14 по ул. Механизаторов в с. Ома</v>
      </c>
      <c r="C18" s="35" t="s">
        <v>346</v>
      </c>
      <c r="D18" s="35" t="s">
        <v>347</v>
      </c>
      <c r="E18" s="36" t="s">
        <v>468</v>
      </c>
      <c r="F18" s="67" t="s">
        <v>348</v>
      </c>
      <c r="G18" s="36" t="str">
        <f>'Подпрограмма 1'!D17</f>
        <v>МКУ ЗР "Северное"</v>
      </c>
      <c r="H18" s="43">
        <v>43099</v>
      </c>
      <c r="I18" s="51">
        <v>1818.2</v>
      </c>
      <c r="J18" s="38"/>
      <c r="K18" s="111">
        <f t="shared" si="1"/>
        <v>1818.2</v>
      </c>
      <c r="L18" s="39"/>
      <c r="M18" s="54">
        <f>'Подпрограмма 1'!K17</f>
        <v>1818.2</v>
      </c>
    </row>
    <row r="19" spans="1:13" s="40" customFormat="1" ht="31.5" x14ac:dyDescent="0.25">
      <c r="A19" s="33" t="str">
        <f>'Подпрограмма 1'!A18</f>
        <v>1.11</v>
      </c>
      <c r="B19" s="36" t="str">
        <f>'Подпрограмма 1'!B18</f>
        <v xml:space="preserve">Ремонт 12-квартирного жилого дома № 87а в с. Великовисочное </v>
      </c>
      <c r="C19" s="35" t="s">
        <v>350</v>
      </c>
      <c r="D19" s="35" t="s">
        <v>352</v>
      </c>
      <c r="E19" s="36" t="s">
        <v>349</v>
      </c>
      <c r="F19" s="36" t="s">
        <v>351</v>
      </c>
      <c r="G19" s="36" t="str">
        <f>'Подпрограмма 1'!D18</f>
        <v>МКУ ЗР "Северное"</v>
      </c>
      <c r="H19" s="43">
        <v>43099</v>
      </c>
      <c r="I19" s="51">
        <v>2928.1</v>
      </c>
      <c r="J19" s="38"/>
      <c r="K19" s="111">
        <f t="shared" si="1"/>
        <v>2928.1</v>
      </c>
      <c r="L19" s="39"/>
      <c r="M19" s="54">
        <f>'Подпрограмма 1'!K18</f>
        <v>2928.1</v>
      </c>
    </row>
    <row r="20" spans="1:13" s="40" customFormat="1" ht="47.25" x14ac:dyDescent="0.25">
      <c r="A20" s="33" t="str">
        <f>'Подпрограмма 1'!A19</f>
        <v>1.12</v>
      </c>
      <c r="B20" s="36" t="str">
        <f>'Подпрограмма 1'!B19</f>
        <v>Ремонт двух печей в квартире № 7 в жилом доме 31 по ул. Советская в с. Нижняя Пеша МО "Пешский сельсовет" НАО</v>
      </c>
      <c r="C20" s="35"/>
      <c r="D20" s="35"/>
      <c r="E20" s="36" t="s">
        <v>472</v>
      </c>
      <c r="F20" s="36" t="s">
        <v>309</v>
      </c>
      <c r="G20" s="36" t="s">
        <v>40</v>
      </c>
      <c r="H20" s="43">
        <v>43008</v>
      </c>
      <c r="I20" s="51">
        <v>885.5</v>
      </c>
      <c r="J20" s="38"/>
      <c r="K20" s="111">
        <f t="shared" si="1"/>
        <v>885.5</v>
      </c>
      <c r="L20" s="39"/>
      <c r="M20" s="54">
        <f>'Подпрограмма 1'!K19</f>
        <v>885.5</v>
      </c>
    </row>
    <row r="21" spans="1:13" s="40" customFormat="1" ht="47.25" x14ac:dyDescent="0.25">
      <c r="A21" s="33" t="str">
        <f>'Подпрограмма 1'!A20</f>
        <v>1.13</v>
      </c>
      <c r="B21" s="36" t="str">
        <f>'Подпрограмма 1'!B20</f>
        <v>Ремонт кровли жилого дома № 19 в д. Волоковая МО "Пешский сельсовет" НАО</v>
      </c>
      <c r="C21" s="35"/>
      <c r="D21" s="35"/>
      <c r="E21" s="36" t="s">
        <v>471</v>
      </c>
      <c r="F21" s="55" t="s">
        <v>470</v>
      </c>
      <c r="G21" s="36" t="s">
        <v>40</v>
      </c>
      <c r="H21" s="43">
        <v>43008</v>
      </c>
      <c r="I21" s="51">
        <v>127</v>
      </c>
      <c r="J21" s="38"/>
      <c r="K21" s="111">
        <f t="shared" si="1"/>
        <v>127</v>
      </c>
      <c r="L21" s="39"/>
      <c r="M21" s="54">
        <f>'Подпрограмма 1'!K20</f>
        <v>127</v>
      </c>
    </row>
    <row r="22" spans="1:13" s="40" customFormat="1" ht="47.25" x14ac:dyDescent="0.25">
      <c r="A22" s="33" t="str">
        <f>'Подпрограмма 1'!A21</f>
        <v>1.14</v>
      </c>
      <c r="B22" s="36" t="str">
        <f>'Подпрограмма 1'!B21</f>
        <v>Ремонт фундамента жилого дома № 6 по ул. Новая в с. Нижняя Пеша МО "Пешский сельсовет" НАО</v>
      </c>
      <c r="C22" s="35"/>
      <c r="D22" s="35"/>
      <c r="E22" s="36" t="s">
        <v>469</v>
      </c>
      <c r="F22" s="55" t="s">
        <v>470</v>
      </c>
      <c r="G22" s="36" t="s">
        <v>40</v>
      </c>
      <c r="H22" s="43">
        <v>43008</v>
      </c>
      <c r="I22" s="51">
        <v>706.6</v>
      </c>
      <c r="J22" s="38"/>
      <c r="K22" s="111">
        <f t="shared" si="1"/>
        <v>706.6</v>
      </c>
      <c r="L22" s="39"/>
      <c r="M22" s="54">
        <f>'Подпрограмма 1'!K21</f>
        <v>706.6</v>
      </c>
    </row>
    <row r="23" spans="1:13" s="40" customFormat="1" ht="47.25" x14ac:dyDescent="0.25">
      <c r="A23" s="33" t="str">
        <f>'Подпрограмма 1'!A22</f>
        <v>1.15</v>
      </c>
      <c r="B23" s="36" t="str">
        <f>'Подпрограмма 1'!B22</f>
        <v>Текущий ремонт в жилом доме № 28 по ул. Почтовая в с. Ома МО «Омский сельсовет» НАО</v>
      </c>
      <c r="C23" s="35"/>
      <c r="D23" s="35"/>
      <c r="E23" s="36" t="s">
        <v>489</v>
      </c>
      <c r="F23" s="36" t="s">
        <v>465</v>
      </c>
      <c r="G23" s="36" t="str">
        <f>'Подпрограмма 1'!D22</f>
        <v>МКУ ЗР "Северное"</v>
      </c>
      <c r="H23" s="119">
        <v>2017</v>
      </c>
      <c r="I23" s="51">
        <v>99.9</v>
      </c>
      <c r="J23" s="38"/>
      <c r="K23" s="111">
        <f t="shared" si="1"/>
        <v>99.9</v>
      </c>
      <c r="L23" s="39"/>
      <c r="M23" s="54">
        <f>'Подпрограмма 1'!K22</f>
        <v>99.9</v>
      </c>
    </row>
    <row r="24" spans="1:13" s="40" customFormat="1" ht="47.25" x14ac:dyDescent="0.25">
      <c r="A24" s="33" t="str">
        <f>'Подпрограмма 1'!A23</f>
        <v>1.16</v>
      </c>
      <c r="B24" s="36" t="str">
        <f>'Подпрограмма 1'!B23</f>
        <v>Текущий ремонт жилого дома № 12 по ул. Ягодная в с. Несь МО «Канинский сельсовет» НАО</v>
      </c>
      <c r="C24" s="35" t="s">
        <v>414</v>
      </c>
      <c r="D24" s="35" t="s">
        <v>411</v>
      </c>
      <c r="E24" s="36" t="s">
        <v>412</v>
      </c>
      <c r="F24" s="36" t="s">
        <v>413</v>
      </c>
      <c r="G24" s="36" t="s">
        <v>40</v>
      </c>
      <c r="H24" s="72">
        <v>43039</v>
      </c>
      <c r="I24" s="51">
        <v>2667.5</v>
      </c>
      <c r="J24" s="38"/>
      <c r="K24" s="111">
        <f t="shared" si="1"/>
        <v>2667.5</v>
      </c>
      <c r="L24" s="39"/>
      <c r="M24" s="54">
        <f>'Подпрограмма 1'!K23</f>
        <v>2667.5</v>
      </c>
    </row>
    <row r="25" spans="1:13" s="40" customFormat="1" ht="47.25" x14ac:dyDescent="0.25">
      <c r="A25" s="33" t="str">
        <f>'Подпрограмма 1'!A24</f>
        <v>1.17</v>
      </c>
      <c r="B25" s="36" t="str">
        <f>'Подпрограмма 1'!B24</f>
        <v>Ремонт жилого дома № 37 по ул. Центральная в п. Каратайка МО «Юшарский сельсовет» НАО</v>
      </c>
      <c r="C25" s="35"/>
      <c r="D25" s="35"/>
      <c r="E25" s="36" t="s">
        <v>466</v>
      </c>
      <c r="F25" s="36" t="s">
        <v>467</v>
      </c>
      <c r="G25" s="36" t="s">
        <v>3</v>
      </c>
      <c r="H25" s="72">
        <v>43122</v>
      </c>
      <c r="I25" s="51">
        <v>1306.5</v>
      </c>
      <c r="J25" s="38"/>
      <c r="K25" s="111">
        <f t="shared" si="1"/>
        <v>1306.5</v>
      </c>
      <c r="L25" s="39"/>
      <c r="M25" s="54">
        <f>'Подпрограмма 1'!K24</f>
        <v>1306.5</v>
      </c>
    </row>
    <row r="26" spans="1:13" s="40" customFormat="1" ht="47.25" x14ac:dyDescent="0.25">
      <c r="A26" s="33" t="str">
        <f>'Подпрограмма 1'!A25</f>
        <v>1.18</v>
      </c>
      <c r="B26" s="36" t="str">
        <f>'Подпрограмма 1'!B25</f>
        <v>Ремонт электропроводки в 4-квартирном жилом доме № 30 по ул. Советская в с. Несь, МО «Канинский сельсовет» НАО</v>
      </c>
      <c r="C26" s="35" t="s">
        <v>19</v>
      </c>
      <c r="D26" s="35" t="s">
        <v>19</v>
      </c>
      <c r="E26" s="36" t="s">
        <v>380</v>
      </c>
      <c r="F26" s="36" t="s">
        <v>19</v>
      </c>
      <c r="G26" s="36" t="s">
        <v>40</v>
      </c>
      <c r="H26" s="53" t="s">
        <v>381</v>
      </c>
      <c r="I26" s="51">
        <v>261.89999999999998</v>
      </c>
      <c r="J26" s="38" t="s">
        <v>19</v>
      </c>
      <c r="K26" s="111">
        <f t="shared" si="1"/>
        <v>261.89999999999998</v>
      </c>
      <c r="L26" s="39"/>
      <c r="M26" s="54">
        <f>'Подпрограмма 1'!K25</f>
        <v>261.89999999999998</v>
      </c>
    </row>
    <row r="27" spans="1:13" s="40" customFormat="1" ht="63" x14ac:dyDescent="0.25">
      <c r="A27" s="33" t="str">
        <f>'Подпрограмма 1'!A26</f>
        <v>1.19</v>
      </c>
      <c r="B27" s="36" t="str">
        <f>'Подпрограмма 1'!B26</f>
        <v>Текущий ремонт жилого дома № 31 по ул. Советская в с. Нижняя Пеша (ремонт электропроводки в кв. № 2), МО «Пешский сельсовет» НАО</v>
      </c>
      <c r="C27" s="35"/>
      <c r="D27" s="35"/>
      <c r="E27" s="36" t="s">
        <v>380</v>
      </c>
      <c r="F27" s="36" t="s">
        <v>19</v>
      </c>
      <c r="G27" s="36" t="s">
        <v>40</v>
      </c>
      <c r="H27" s="53" t="s">
        <v>381</v>
      </c>
      <c r="I27" s="51">
        <v>31.3</v>
      </c>
      <c r="J27" s="38"/>
      <c r="K27" s="111">
        <f t="shared" si="1"/>
        <v>31.3</v>
      </c>
      <c r="L27" s="39"/>
      <c r="M27" s="54">
        <f>'Подпрограмма 1'!K26</f>
        <v>31.3</v>
      </c>
    </row>
    <row r="28" spans="1:13" s="40" customFormat="1" ht="63" x14ac:dyDescent="0.25">
      <c r="A28" s="33" t="str">
        <f>'Подпрограмма 1'!A27</f>
        <v>1.20</v>
      </c>
      <c r="B28" s="36" t="str">
        <f>'Подпрограмма 1'!B27</f>
        <v>Текущий ремонт жилого дома № 30 по ул. Новая в с. Нижняя Пеша (ремонт электропроводки в кв. № 2), МО «Пешский сельсовет» НАО</v>
      </c>
      <c r="C28" s="35"/>
      <c r="D28" s="35"/>
      <c r="E28" s="36" t="s">
        <v>380</v>
      </c>
      <c r="F28" s="36" t="s">
        <v>19</v>
      </c>
      <c r="G28" s="36" t="s">
        <v>40</v>
      </c>
      <c r="H28" s="53" t="s">
        <v>381</v>
      </c>
      <c r="I28" s="51">
        <v>69.3</v>
      </c>
      <c r="J28" s="38"/>
      <c r="K28" s="111">
        <f t="shared" si="1"/>
        <v>69.3</v>
      </c>
      <c r="L28" s="39"/>
      <c r="M28" s="54">
        <f>'Подпрограмма 1'!K27</f>
        <v>69.3</v>
      </c>
    </row>
    <row r="29" spans="1:13" s="40" customFormat="1" ht="63" x14ac:dyDescent="0.25">
      <c r="A29" s="33" t="str">
        <f>'Подпрограмма 1'!A28</f>
        <v>1.21</v>
      </c>
      <c r="B29" s="36" t="str">
        <f>'Подпрограмма 1'!B28</f>
        <v>Текущий ремонт жилого дома № 16А по ул. Калинина в с. Нижняя Пеша (ремонт электропроводки в кв. № 1), МО «Пешский сельсовет» НАО</v>
      </c>
      <c r="C29" s="35"/>
      <c r="D29" s="35"/>
      <c r="E29" s="36" t="s">
        <v>380</v>
      </c>
      <c r="F29" s="36" t="s">
        <v>19</v>
      </c>
      <c r="G29" s="36" t="s">
        <v>40</v>
      </c>
      <c r="H29" s="53" t="s">
        <v>381</v>
      </c>
      <c r="I29" s="51">
        <v>55.5</v>
      </c>
      <c r="J29" s="38"/>
      <c r="K29" s="111">
        <f t="shared" si="1"/>
        <v>55.5</v>
      </c>
      <c r="L29" s="39"/>
      <c r="M29" s="54">
        <f>'Подпрограмма 1'!K28</f>
        <v>55.5</v>
      </c>
    </row>
    <row r="30" spans="1:13" s="40" customFormat="1" ht="47.25" x14ac:dyDescent="0.25">
      <c r="A30" s="33" t="str">
        <f>'Подпрограмма 1'!A29</f>
        <v>1.22</v>
      </c>
      <c r="B30" s="36" t="str">
        <f>'Подпрограмма 1'!B29</f>
        <v>Текущий ремонт в жилом доме № 19 в д. Волоковая (ремонт электропроводки), МО «Пешский сельсовет» НАО</v>
      </c>
      <c r="C30" s="35"/>
      <c r="D30" s="35"/>
      <c r="E30" s="36" t="s">
        <v>380</v>
      </c>
      <c r="F30" s="36" t="s">
        <v>19</v>
      </c>
      <c r="G30" s="36" t="s">
        <v>40</v>
      </c>
      <c r="H30" s="53" t="s">
        <v>381</v>
      </c>
      <c r="I30" s="51">
        <v>31.3</v>
      </c>
      <c r="J30" s="38"/>
      <c r="K30" s="111">
        <f t="shared" si="1"/>
        <v>31.3</v>
      </c>
      <c r="L30" s="39"/>
      <c r="M30" s="54">
        <f>'Подпрограмма 1'!K29</f>
        <v>31.3</v>
      </c>
    </row>
    <row r="31" spans="1:13" s="40" customFormat="1" ht="47.25" x14ac:dyDescent="0.25">
      <c r="A31" s="33" t="str">
        <f>'Подпрограмма 1'!A30</f>
        <v>1.23</v>
      </c>
      <c r="B31" s="36" t="str">
        <f>'Подпрограмма 1'!B30</f>
        <v>Ремонт общежития по ул. Школьная, д. 1 в д. Андег МО "Андегский сельсовет" НАО</v>
      </c>
      <c r="C31" s="35"/>
      <c r="D31" s="35"/>
      <c r="E31" s="36" t="s">
        <v>380</v>
      </c>
      <c r="F31" s="36" t="s">
        <v>19</v>
      </c>
      <c r="G31" s="36" t="s">
        <v>40</v>
      </c>
      <c r="H31" s="53" t="s">
        <v>381</v>
      </c>
      <c r="I31" s="51">
        <v>1672</v>
      </c>
      <c r="J31" s="38"/>
      <c r="K31" s="111">
        <f t="shared" si="1"/>
        <v>1672</v>
      </c>
      <c r="L31" s="39"/>
      <c r="M31" s="54">
        <f>'Подпрограмма 1'!K30</f>
        <v>1672</v>
      </c>
    </row>
    <row r="32" spans="1:13" s="40" customFormat="1" ht="47.25" x14ac:dyDescent="0.25">
      <c r="A32" s="33" t="str">
        <f>'Подпрограмма 1'!A31</f>
        <v>1.24</v>
      </c>
      <c r="B32" s="36" t="str">
        <f>'Подпрограмма 1'!B31</f>
        <v>Ремонт системы отопления в квартире № 2 в жилом доме 2 по ул. Ягодная в с. Несь МО "Канинский сельсовет" НАО</v>
      </c>
      <c r="C32" s="35"/>
      <c r="D32" s="35"/>
      <c r="E32" s="36" t="s">
        <v>380</v>
      </c>
      <c r="F32" s="36" t="s">
        <v>19</v>
      </c>
      <c r="G32" s="36" t="s">
        <v>40</v>
      </c>
      <c r="H32" s="53" t="s">
        <v>381</v>
      </c>
      <c r="I32" s="51">
        <v>331.9</v>
      </c>
      <c r="J32" s="38"/>
      <c r="K32" s="111">
        <f t="shared" si="1"/>
        <v>331.9</v>
      </c>
      <c r="L32" s="39"/>
      <c r="M32" s="54">
        <f>'Подпрограмма 1'!K31</f>
        <v>331.9</v>
      </c>
    </row>
    <row r="33" spans="1:13" s="40" customFormat="1" ht="47.25" x14ac:dyDescent="0.25">
      <c r="A33" s="33" t="str">
        <f>'Подпрограмма 1'!A32</f>
        <v>1.25</v>
      </c>
      <c r="B33" s="36" t="str">
        <f>'Подпрограмма 1'!B32</f>
        <v>Ремонт электропроводки в кв. № 5 жилого дома № 19 по ул. Калинина в с. Нижняя Пеша, МО "Пешский сельсовет" НАО</v>
      </c>
      <c r="C33" s="35"/>
      <c r="D33" s="35"/>
      <c r="E33" s="36" t="s">
        <v>380</v>
      </c>
      <c r="F33" s="36" t="s">
        <v>19</v>
      </c>
      <c r="G33" s="36" t="s">
        <v>40</v>
      </c>
      <c r="H33" s="53" t="s">
        <v>381</v>
      </c>
      <c r="I33" s="51">
        <v>55.5</v>
      </c>
      <c r="J33" s="38"/>
      <c r="K33" s="111">
        <f t="shared" si="1"/>
        <v>55.5</v>
      </c>
      <c r="L33" s="39"/>
      <c r="M33" s="54">
        <f>'Подпрограмма 1'!K32</f>
        <v>55.5</v>
      </c>
    </row>
    <row r="34" spans="1:13" s="40" customFormat="1" ht="47.25" x14ac:dyDescent="0.25">
      <c r="A34" s="33"/>
      <c r="B34" s="33" t="str">
        <f>'Подпрограмма 1'!B33</f>
        <v>Раздел 3. Снос ветхих и аварийных домов, признанных непригодными для проживания</v>
      </c>
      <c r="C34" s="35"/>
      <c r="D34" s="35"/>
      <c r="E34" s="36"/>
      <c r="F34" s="36"/>
      <c r="G34" s="36"/>
      <c r="H34" s="53"/>
      <c r="I34" s="51"/>
      <c r="J34" s="38"/>
      <c r="K34" s="111"/>
      <c r="L34" s="39"/>
      <c r="M34" s="54"/>
    </row>
    <row r="35" spans="1:13" s="40" customFormat="1" ht="47.25" x14ac:dyDescent="0.25">
      <c r="A35" s="33" t="str">
        <f>'Подпрограмма 1'!A34</f>
        <v>1.26</v>
      </c>
      <c r="B35" s="36" t="str">
        <f>'Подпрограмма 1'!B34</f>
        <v>Снос дома № 18 по ул. Набережная с. Шойна</v>
      </c>
      <c r="C35" s="35"/>
      <c r="D35" s="35"/>
      <c r="E35" s="36" t="s">
        <v>464</v>
      </c>
      <c r="F35" s="36" t="s">
        <v>465</v>
      </c>
      <c r="G35" s="36" t="s">
        <v>40</v>
      </c>
      <c r="H35" s="43">
        <v>43069</v>
      </c>
      <c r="I35" s="51">
        <v>562.70000000000005</v>
      </c>
      <c r="J35" s="38"/>
      <c r="K35" s="111">
        <f t="shared" si="1"/>
        <v>562.70000000000005</v>
      </c>
      <c r="L35" s="39"/>
      <c r="M35" s="54">
        <f>'Подпрограмма 1'!K34</f>
        <v>562.70000000000005</v>
      </c>
    </row>
    <row r="36" spans="1:13" s="40" customFormat="1" ht="47.25" x14ac:dyDescent="0.25">
      <c r="A36" s="33" t="str">
        <f>'Подпрограмма 1'!A35</f>
        <v>1.27</v>
      </c>
      <c r="B36" s="36" t="str">
        <f>'Подпрограмма 1'!B35</f>
        <v>Снос дома № 21 по ул. Центральная в с. Тельвиска МО «Тельвисочный сельсовет» НАО</v>
      </c>
      <c r="C36" s="35"/>
      <c r="D36" s="35"/>
      <c r="E36" s="160" t="s">
        <v>380</v>
      </c>
      <c r="F36" s="36" t="s">
        <v>19</v>
      </c>
      <c r="G36" s="36" t="s">
        <v>40</v>
      </c>
      <c r="H36" s="53" t="s">
        <v>381</v>
      </c>
      <c r="I36" s="51">
        <v>166.3</v>
      </c>
      <c r="J36" s="38"/>
      <c r="K36" s="111">
        <f t="shared" si="1"/>
        <v>166.3</v>
      </c>
      <c r="L36" s="39"/>
      <c r="M36" s="54">
        <f>'Подпрограмма 1'!K35</f>
        <v>166.3</v>
      </c>
    </row>
    <row r="37" spans="1:13" s="40" customFormat="1" ht="47.25" x14ac:dyDescent="0.25">
      <c r="A37" s="33"/>
      <c r="B37" s="33" t="str">
        <f>'Подпрограмма 1'!B36</f>
        <v>Раздел 4. Обследование жилых домов с целью признания их аварийными и подлежащими сносу или реконструкции</v>
      </c>
      <c r="C37" s="53"/>
      <c r="D37" s="53"/>
      <c r="E37" s="36"/>
      <c r="F37" s="36"/>
      <c r="G37" s="36"/>
      <c r="H37" s="64"/>
      <c r="I37" s="38"/>
      <c r="J37" s="38"/>
      <c r="K37" s="111"/>
      <c r="L37" s="39"/>
      <c r="M37" s="54"/>
    </row>
    <row r="38" spans="1:13" s="40" customFormat="1" ht="94.5" x14ac:dyDescent="0.25">
      <c r="A38" s="33" t="str">
        <f>'Подпрограмма 1'!A37</f>
        <v>1.28</v>
      </c>
      <c r="B38" s="36" t="str">
        <f>'Подпрограмма 1'!B37</f>
        <v>Обследование жилых домов в п. Амдерма, расположенных по адресам: ул. Дубровина, д. 11; ул. Ленина, д. 3; ул. Центральная, д. 2; ул. Центральная, д. 3, с целью признания их аварийными и подлежащими сносу или реконструкции</v>
      </c>
      <c r="C38" s="53" t="s">
        <v>376</v>
      </c>
      <c r="D38" s="53" t="s">
        <v>377</v>
      </c>
      <c r="E38" s="36" t="s">
        <v>378</v>
      </c>
      <c r="F38" s="36" t="s">
        <v>379</v>
      </c>
      <c r="G38" s="36" t="s">
        <v>40</v>
      </c>
      <c r="H38" s="53" t="s">
        <v>377</v>
      </c>
      <c r="I38" s="38">
        <v>139.1</v>
      </c>
      <c r="J38" s="38"/>
      <c r="K38" s="111">
        <f t="shared" si="1"/>
        <v>139.1</v>
      </c>
      <c r="L38" s="39"/>
      <c r="M38" s="54">
        <f>'Подпрограмма 1'!K37</f>
        <v>139.1</v>
      </c>
    </row>
    <row r="39" spans="1:13" s="40" customFormat="1" ht="47.25" x14ac:dyDescent="0.25">
      <c r="A39" s="33"/>
      <c r="B39" s="33" t="str">
        <f>'Подпрограмма 1'!B38</f>
        <v>Раздел 5. Разработка проектов, проверка достоверности определения сметной стоимости</v>
      </c>
      <c r="C39" s="159"/>
      <c r="D39" s="159"/>
      <c r="E39" s="36"/>
      <c r="F39" s="36"/>
      <c r="G39" s="36"/>
      <c r="H39" s="53"/>
      <c r="I39" s="38"/>
      <c r="J39" s="38"/>
      <c r="K39" s="111"/>
      <c r="L39" s="39"/>
      <c r="M39" s="54"/>
    </row>
    <row r="40" spans="1:13" s="40" customFormat="1" x14ac:dyDescent="0.25">
      <c r="A40" s="33" t="str">
        <f>'Подпрограмма 1'!A39</f>
        <v>1.29</v>
      </c>
      <c r="B40" s="36" t="str">
        <f>'Подпрограмма 1'!B39</f>
        <v>МО "Андегский сельсовет" НАО</v>
      </c>
      <c r="C40" s="159"/>
      <c r="D40" s="159"/>
      <c r="E40" s="36"/>
      <c r="F40" s="36"/>
      <c r="G40" s="36"/>
      <c r="H40" s="53"/>
      <c r="I40" s="38"/>
      <c r="J40" s="38"/>
      <c r="K40" s="111">
        <f t="shared" si="1"/>
        <v>0</v>
      </c>
      <c r="L40" s="39"/>
      <c r="M40" s="54">
        <f>'Подпрограмма 1'!K39</f>
        <v>0</v>
      </c>
    </row>
    <row r="41" spans="1:13" s="40" customFormat="1" x14ac:dyDescent="0.25">
      <c r="A41" s="33" t="str">
        <f>'Подпрограмма 1'!A40</f>
        <v>1.30</v>
      </c>
      <c r="B41" s="36" t="str">
        <f>'Подпрограмма 1'!B40</f>
        <v>МО "Колгуевский сельсовет" НАО</v>
      </c>
      <c r="C41" s="159"/>
      <c r="D41" s="159"/>
      <c r="E41" s="36"/>
      <c r="F41" s="36"/>
      <c r="G41" s="36"/>
      <c r="H41" s="53"/>
      <c r="I41" s="38"/>
      <c r="J41" s="38"/>
      <c r="K41" s="111">
        <f t="shared" si="1"/>
        <v>0</v>
      </c>
      <c r="L41" s="39"/>
      <c r="M41" s="54">
        <f>'Подпрограмма 1'!K40</f>
        <v>0</v>
      </c>
    </row>
    <row r="42" spans="1:13" s="40" customFormat="1" ht="47.25" x14ac:dyDescent="0.25">
      <c r="A42" s="33"/>
      <c r="B42" s="33" t="str">
        <f>'Подпрограмма 1'!B41</f>
        <v>Раздел 6. Содержание имущества, находящегося в муниципальной собственности поселения</v>
      </c>
      <c r="C42" s="159"/>
      <c r="D42" s="159"/>
      <c r="E42" s="36"/>
      <c r="F42" s="36"/>
      <c r="G42" s="36"/>
      <c r="H42" s="53"/>
      <c r="I42" s="38"/>
      <c r="J42" s="38"/>
      <c r="K42" s="111"/>
      <c r="L42" s="39"/>
      <c r="M42" s="54"/>
    </row>
    <row r="43" spans="1:13" s="40" customFormat="1" ht="63" x14ac:dyDescent="0.25">
      <c r="A43" s="33" t="str">
        <f>'Подпрограмма 1'!A42</f>
        <v>1.31</v>
      </c>
      <c r="B43" s="36" t="str">
        <f>'Подпрограмма 1'!B42</f>
        <v>Установка общедомовых приборов учета электроэнергии в многоквартирных жилых домах в с. Шойна по адресу: ул. Набережная, д. 6 и д. 10</v>
      </c>
      <c r="C43" s="159"/>
      <c r="D43" s="159"/>
      <c r="E43" s="160" t="s">
        <v>380</v>
      </c>
      <c r="F43" s="36" t="s">
        <v>19</v>
      </c>
      <c r="G43" s="36" t="s">
        <v>40</v>
      </c>
      <c r="H43" s="53" t="s">
        <v>381</v>
      </c>
      <c r="I43" s="38">
        <v>60.2</v>
      </c>
      <c r="J43" s="38"/>
      <c r="K43" s="111">
        <f t="shared" si="1"/>
        <v>60.2</v>
      </c>
      <c r="L43" s="39"/>
      <c r="M43" s="54">
        <f>'Подпрограмма 1'!K42</f>
        <v>60.2</v>
      </c>
    </row>
    <row r="44" spans="1:13" s="40" customFormat="1" ht="47.25" x14ac:dyDescent="0.25">
      <c r="A44" s="33" t="str">
        <f>'Подпрограмма 1'!A43</f>
        <v>1.32</v>
      </c>
      <c r="B44" s="36" t="str">
        <f>'Подпрограмма 1'!B43</f>
        <v>Ремонт выгребной ямы в жилом доме 87 в с. Великовисочное МО «Великовисочный сельсовет» НАО</v>
      </c>
      <c r="C44" s="159"/>
      <c r="D44" s="159"/>
      <c r="E44" s="160" t="s">
        <v>380</v>
      </c>
      <c r="F44" s="36" t="s">
        <v>19</v>
      </c>
      <c r="G44" s="36" t="s">
        <v>40</v>
      </c>
      <c r="H44" s="53" t="s">
        <v>381</v>
      </c>
      <c r="I44" s="38">
        <v>188.5</v>
      </c>
      <c r="J44" s="38"/>
      <c r="K44" s="111">
        <f t="shared" si="1"/>
        <v>188.5</v>
      </c>
      <c r="L44" s="39"/>
      <c r="M44" s="54">
        <f>'Подпрограмма 1'!K43</f>
        <v>188.5</v>
      </c>
    </row>
    <row r="45" spans="1:13" ht="15" customHeight="1" x14ac:dyDescent="0.25">
      <c r="A45" s="196" t="s">
        <v>259</v>
      </c>
      <c r="B45" s="197"/>
      <c r="C45" s="197"/>
      <c r="D45" s="197"/>
      <c r="E45" s="197"/>
      <c r="F45" s="197"/>
      <c r="G45" s="197"/>
      <c r="H45" s="197"/>
      <c r="I45" s="198"/>
      <c r="J45" s="44">
        <f>SUM(J7:J35)</f>
        <v>0</v>
      </c>
      <c r="K45" s="44">
        <f>SUM(K7:K44)</f>
        <v>72378.14</v>
      </c>
      <c r="L45" s="44">
        <f t="shared" ref="L45:M45" si="2">SUM(L7:L44)</f>
        <v>0</v>
      </c>
      <c r="M45" s="44">
        <f t="shared" si="2"/>
        <v>56649.340000000004</v>
      </c>
    </row>
  </sheetData>
  <mergeCells count="18">
    <mergeCell ref="C4:C5"/>
    <mergeCell ref="D4:D5"/>
    <mergeCell ref="K4:K5"/>
    <mergeCell ref="L4:L5"/>
    <mergeCell ref="M4:M5"/>
    <mergeCell ref="A45:I45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</mergeCells>
  <pageMargins left="0.15748031496062992" right="0.15748031496062992" top="0.23622047244094491" bottom="0.31496062992125984" header="0.94488188976377963" footer="0.31496062992125984"/>
  <pageSetup paperSize="9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109"/>
  <sheetViews>
    <sheetView zoomScale="70" zoomScaleNormal="70" zoomScaleSheetLayoutView="80" workbookViewId="0">
      <pane xSplit="4" ySplit="5" topLeftCell="E54" activePane="bottomRight" state="frozen"/>
      <selection pane="topRight"/>
      <selection pane="bottomLeft"/>
      <selection pane="bottomRight" activeCell="N73" sqref="N73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7" width="16.85546875" style="1" customWidth="1"/>
    <col min="8" max="8" width="14.85546875" style="132" customWidth="1"/>
    <col min="9" max="9" width="15.28515625" style="132" customWidth="1"/>
    <col min="10" max="10" width="16.42578125" style="132" customWidth="1"/>
    <col min="11" max="11" width="16" style="132" customWidth="1"/>
    <col min="12" max="12" width="15.140625" style="132" customWidth="1"/>
    <col min="13" max="13" width="14.85546875" style="132" customWidth="1"/>
    <col min="14" max="14" width="26" style="132" customWidth="1"/>
    <col min="15" max="15" width="26.140625" style="132" customWidth="1"/>
    <col min="16" max="16384" width="9.140625" style="1"/>
  </cols>
  <sheetData>
    <row r="1" spans="1:15" ht="32.25" customHeight="1" x14ac:dyDescent="0.25">
      <c r="A1" s="206" t="s">
        <v>62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</row>
    <row r="2" spans="1:15" ht="32.25" customHeight="1" x14ac:dyDescent="0.25">
      <c r="A2" s="207" t="s">
        <v>430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8"/>
    </row>
    <row r="3" spans="1:15" s="2" customFormat="1" ht="27" customHeight="1" x14ac:dyDescent="0.25">
      <c r="A3" s="178" t="s">
        <v>22</v>
      </c>
      <c r="B3" s="178" t="s">
        <v>20</v>
      </c>
      <c r="C3" s="178" t="s">
        <v>7</v>
      </c>
      <c r="D3" s="178" t="s">
        <v>21</v>
      </c>
      <c r="E3" s="190" t="s">
        <v>51</v>
      </c>
      <c r="F3" s="191"/>
      <c r="G3" s="192"/>
      <c r="H3" s="178" t="s">
        <v>8</v>
      </c>
      <c r="I3" s="178"/>
      <c r="J3" s="178"/>
      <c r="K3" s="178" t="s">
        <v>9</v>
      </c>
      <c r="L3" s="178"/>
      <c r="M3" s="178"/>
      <c r="N3" s="178" t="s">
        <v>459</v>
      </c>
      <c r="O3" s="178" t="s">
        <v>460</v>
      </c>
    </row>
    <row r="4" spans="1:15" s="2" customFormat="1" ht="66.75" customHeight="1" x14ac:dyDescent="0.25">
      <c r="A4" s="178"/>
      <c r="B4" s="178"/>
      <c r="C4" s="178"/>
      <c r="D4" s="178"/>
      <c r="E4" s="75" t="s">
        <v>1</v>
      </c>
      <c r="F4" s="75" t="s">
        <v>10</v>
      </c>
      <c r="G4" s="75" t="s">
        <v>11</v>
      </c>
      <c r="H4" s="135" t="s">
        <v>1</v>
      </c>
      <c r="I4" s="135" t="s">
        <v>10</v>
      </c>
      <c r="J4" s="135" t="s">
        <v>11</v>
      </c>
      <c r="K4" s="135" t="s">
        <v>1</v>
      </c>
      <c r="L4" s="135" t="s">
        <v>10</v>
      </c>
      <c r="M4" s="135" t="s">
        <v>11</v>
      </c>
      <c r="N4" s="178"/>
      <c r="O4" s="178"/>
    </row>
    <row r="5" spans="1:15" s="2" customFormat="1" x14ac:dyDescent="0.25">
      <c r="A5" s="75">
        <v>1</v>
      </c>
      <c r="B5" s="75">
        <v>2</v>
      </c>
      <c r="C5" s="75">
        <v>3</v>
      </c>
      <c r="D5" s="75">
        <v>4</v>
      </c>
      <c r="E5" s="75">
        <v>5</v>
      </c>
      <c r="F5" s="75">
        <v>6</v>
      </c>
      <c r="G5" s="75">
        <v>7</v>
      </c>
      <c r="H5" s="135">
        <v>8</v>
      </c>
      <c r="I5" s="135">
        <v>9</v>
      </c>
      <c r="J5" s="135">
        <v>10</v>
      </c>
      <c r="K5" s="135">
        <v>11</v>
      </c>
      <c r="L5" s="135">
        <v>12</v>
      </c>
      <c r="M5" s="135">
        <v>13</v>
      </c>
      <c r="N5" s="135">
        <v>14</v>
      </c>
      <c r="O5" s="135">
        <v>15</v>
      </c>
    </row>
    <row r="6" spans="1:15" s="2" customFormat="1" x14ac:dyDescent="0.25">
      <c r="A6" s="23"/>
      <c r="B6" s="178" t="s">
        <v>63</v>
      </c>
      <c r="C6" s="178"/>
      <c r="D6" s="178"/>
      <c r="E6" s="112">
        <f>SUM(E7:E19)</f>
        <v>2743.8</v>
      </c>
      <c r="F6" s="112">
        <v>0</v>
      </c>
      <c r="G6" s="112">
        <f>SUM(G7:G19)</f>
        <v>2743.8</v>
      </c>
      <c r="H6" s="6">
        <f>SUM(H7:H19)</f>
        <v>2445.7600000000002</v>
      </c>
      <c r="I6" s="6">
        <f>SUM(I7:I7)</f>
        <v>0</v>
      </c>
      <c r="J6" s="6">
        <f>SUM(J7:J19)</f>
        <v>2445.7600000000002</v>
      </c>
      <c r="K6" s="6">
        <f>SUM(K7:K19)</f>
        <v>2445.7999999999997</v>
      </c>
      <c r="L6" s="6">
        <v>0</v>
      </c>
      <c r="M6" s="6">
        <f>SUM(M7:M19)</f>
        <v>2445.7999999999997</v>
      </c>
      <c r="N6" s="139">
        <f>H6/E6</f>
        <v>0.89137692251621836</v>
      </c>
      <c r="O6" s="139">
        <f>K6/E6</f>
        <v>0.89139150083825336</v>
      </c>
    </row>
    <row r="7" spans="1:15" s="2" customFormat="1" ht="33" x14ac:dyDescent="0.25">
      <c r="A7" s="76" t="s">
        <v>12</v>
      </c>
      <c r="B7" s="82" t="s">
        <v>64</v>
      </c>
      <c r="C7" s="83" t="s">
        <v>77</v>
      </c>
      <c r="D7" s="78" t="s">
        <v>40</v>
      </c>
      <c r="E7" s="88">
        <f>G7</f>
        <v>44.9</v>
      </c>
      <c r="F7" s="88" t="s">
        <v>19</v>
      </c>
      <c r="G7" s="88">
        <v>44.9</v>
      </c>
      <c r="H7" s="3">
        <f>J7</f>
        <v>44.89</v>
      </c>
      <c r="I7" s="3" t="s">
        <v>19</v>
      </c>
      <c r="J7" s="3">
        <v>44.89</v>
      </c>
      <c r="K7" s="3">
        <f t="shared" ref="K7:K19" si="0">M7</f>
        <v>44.9</v>
      </c>
      <c r="L7" s="3" t="s">
        <v>19</v>
      </c>
      <c r="M7" s="3">
        <v>44.9</v>
      </c>
      <c r="N7" s="13">
        <f>H7/E7</f>
        <v>0.9997772828507796</v>
      </c>
      <c r="O7" s="13">
        <f>K7/E7</f>
        <v>1</v>
      </c>
    </row>
    <row r="8" spans="1:15" s="2" customFormat="1" ht="33" x14ac:dyDescent="0.25">
      <c r="A8" s="76" t="s">
        <v>13</v>
      </c>
      <c r="B8" s="82" t="s">
        <v>65</v>
      </c>
      <c r="C8" s="83" t="s">
        <v>77</v>
      </c>
      <c r="D8" s="78" t="s">
        <v>40</v>
      </c>
      <c r="E8" s="88">
        <f t="shared" ref="E8:E18" si="1">G8</f>
        <v>140.80000000000001</v>
      </c>
      <c r="F8" s="88" t="s">
        <v>19</v>
      </c>
      <c r="G8" s="88">
        <v>140.80000000000001</v>
      </c>
      <c r="H8" s="3">
        <f t="shared" ref="H8:H19" si="2">J8</f>
        <v>140.79</v>
      </c>
      <c r="I8" s="3" t="s">
        <v>19</v>
      </c>
      <c r="J8" s="3">
        <v>140.79</v>
      </c>
      <c r="K8" s="3">
        <f t="shared" si="0"/>
        <v>140.80000000000001</v>
      </c>
      <c r="L8" s="3" t="s">
        <v>19</v>
      </c>
      <c r="M8" s="3">
        <v>140.80000000000001</v>
      </c>
      <c r="N8" s="13">
        <f t="shared" ref="N8:N72" si="3">H8/E8</f>
        <v>0.99992897727272712</v>
      </c>
      <c r="O8" s="13">
        <f t="shared" ref="O8:O72" si="4">K8/E8</f>
        <v>1</v>
      </c>
    </row>
    <row r="9" spans="1:15" s="2" customFormat="1" ht="33" x14ac:dyDescent="0.25">
      <c r="A9" s="76" t="s">
        <v>14</v>
      </c>
      <c r="B9" s="82" t="s">
        <v>66</v>
      </c>
      <c r="C9" s="83" t="s">
        <v>77</v>
      </c>
      <c r="D9" s="78" t="s">
        <v>40</v>
      </c>
      <c r="E9" s="88">
        <f t="shared" si="1"/>
        <v>20.100000000000001</v>
      </c>
      <c r="F9" s="88" t="s">
        <v>19</v>
      </c>
      <c r="G9" s="88">
        <v>20.100000000000001</v>
      </c>
      <c r="H9" s="3">
        <f t="shared" si="2"/>
        <v>20.100000000000001</v>
      </c>
      <c r="I9" s="3" t="s">
        <v>19</v>
      </c>
      <c r="J9" s="3">
        <v>20.100000000000001</v>
      </c>
      <c r="K9" s="3">
        <f t="shared" si="0"/>
        <v>20.100000000000001</v>
      </c>
      <c r="L9" s="3" t="s">
        <v>19</v>
      </c>
      <c r="M9" s="3">
        <v>20.100000000000001</v>
      </c>
      <c r="N9" s="13">
        <f t="shared" si="3"/>
        <v>1</v>
      </c>
      <c r="O9" s="13">
        <f t="shared" si="4"/>
        <v>1</v>
      </c>
    </row>
    <row r="10" spans="1:15" s="2" customFormat="1" ht="33" x14ac:dyDescent="0.25">
      <c r="A10" s="76" t="s">
        <v>15</v>
      </c>
      <c r="B10" s="82" t="s">
        <v>67</v>
      </c>
      <c r="C10" s="83" t="s">
        <v>77</v>
      </c>
      <c r="D10" s="78" t="s">
        <v>40</v>
      </c>
      <c r="E10" s="88">
        <f t="shared" si="1"/>
        <v>315.7</v>
      </c>
      <c r="F10" s="88" t="s">
        <v>19</v>
      </c>
      <c r="G10" s="88">
        <v>315.7</v>
      </c>
      <c r="H10" s="3">
        <f t="shared" si="2"/>
        <v>226.78</v>
      </c>
      <c r="I10" s="3" t="s">
        <v>19</v>
      </c>
      <c r="J10" s="3">
        <v>226.78</v>
      </c>
      <c r="K10" s="3">
        <f t="shared" si="0"/>
        <v>226.8</v>
      </c>
      <c r="L10" s="3" t="s">
        <v>19</v>
      </c>
      <c r="M10" s="3">
        <v>226.8</v>
      </c>
      <c r="N10" s="13">
        <f t="shared" si="3"/>
        <v>0.71834019638897695</v>
      </c>
      <c r="O10" s="13">
        <f t="shared" si="4"/>
        <v>0.71840354767184045</v>
      </c>
    </row>
    <row r="11" spans="1:15" s="2" customFormat="1" ht="33" x14ac:dyDescent="0.25">
      <c r="A11" s="76" t="s">
        <v>16</v>
      </c>
      <c r="B11" s="82" t="s">
        <v>68</v>
      </c>
      <c r="C11" s="83" t="s">
        <v>77</v>
      </c>
      <c r="D11" s="78" t="s">
        <v>40</v>
      </c>
      <c r="E11" s="88">
        <f t="shared" si="1"/>
        <v>237.2</v>
      </c>
      <c r="F11" s="88" t="s">
        <v>19</v>
      </c>
      <c r="G11" s="88">
        <v>237.2</v>
      </c>
      <c r="H11" s="3">
        <f t="shared" si="2"/>
        <v>213.6</v>
      </c>
      <c r="I11" s="3" t="s">
        <v>19</v>
      </c>
      <c r="J11" s="3">
        <v>213.6</v>
      </c>
      <c r="K11" s="3">
        <f t="shared" si="0"/>
        <v>213.5</v>
      </c>
      <c r="L11" s="3" t="s">
        <v>19</v>
      </c>
      <c r="M11" s="3">
        <v>213.5</v>
      </c>
      <c r="N11" s="13">
        <f t="shared" si="3"/>
        <v>0.9005059021922428</v>
      </c>
      <c r="O11" s="13">
        <f t="shared" si="4"/>
        <v>0.9000843170320405</v>
      </c>
    </row>
    <row r="12" spans="1:15" s="2" customFormat="1" ht="33" x14ac:dyDescent="0.25">
      <c r="A12" s="76" t="s">
        <v>41</v>
      </c>
      <c r="B12" s="82" t="s">
        <v>69</v>
      </c>
      <c r="C12" s="83" t="s">
        <v>77</v>
      </c>
      <c r="D12" s="78" t="s">
        <v>40</v>
      </c>
      <c r="E12" s="88">
        <f t="shared" si="1"/>
        <v>649.29999999999995</v>
      </c>
      <c r="F12" s="88" t="s">
        <v>19</v>
      </c>
      <c r="G12" s="88">
        <v>649.29999999999995</v>
      </c>
      <c r="H12" s="3">
        <f t="shared" si="2"/>
        <v>640.95000000000005</v>
      </c>
      <c r="I12" s="3" t="s">
        <v>19</v>
      </c>
      <c r="J12" s="3">
        <v>640.95000000000005</v>
      </c>
      <c r="K12" s="3">
        <f t="shared" si="0"/>
        <v>641</v>
      </c>
      <c r="L12" s="3" t="s">
        <v>19</v>
      </c>
      <c r="M12" s="3">
        <v>641</v>
      </c>
      <c r="N12" s="13">
        <f t="shared" si="3"/>
        <v>0.98713999691975984</v>
      </c>
      <c r="O12" s="13">
        <f t="shared" si="4"/>
        <v>0.98721700292622827</v>
      </c>
    </row>
    <row r="13" spans="1:15" s="2" customFormat="1" ht="33" x14ac:dyDescent="0.25">
      <c r="A13" s="76" t="s">
        <v>17</v>
      </c>
      <c r="B13" s="82" t="s">
        <v>70</v>
      </c>
      <c r="C13" s="83" t="s">
        <v>77</v>
      </c>
      <c r="D13" s="78" t="s">
        <v>40</v>
      </c>
      <c r="E13" s="88">
        <f t="shared" si="1"/>
        <v>332.4</v>
      </c>
      <c r="F13" s="88" t="s">
        <v>19</v>
      </c>
      <c r="G13" s="88">
        <v>332.4</v>
      </c>
      <c r="H13" s="3">
        <f t="shared" si="2"/>
        <v>332.4</v>
      </c>
      <c r="I13" s="3" t="s">
        <v>19</v>
      </c>
      <c r="J13" s="3">
        <v>332.4</v>
      </c>
      <c r="K13" s="3">
        <f t="shared" si="0"/>
        <v>332.4</v>
      </c>
      <c r="L13" s="3" t="s">
        <v>19</v>
      </c>
      <c r="M13" s="3">
        <v>332.4</v>
      </c>
      <c r="N13" s="13">
        <f t="shared" si="3"/>
        <v>1</v>
      </c>
      <c r="O13" s="13">
        <f t="shared" si="4"/>
        <v>1</v>
      </c>
    </row>
    <row r="14" spans="1:15" s="2" customFormat="1" ht="33" x14ac:dyDescent="0.25">
      <c r="A14" s="76" t="s">
        <v>42</v>
      </c>
      <c r="B14" s="82" t="s">
        <v>71</v>
      </c>
      <c r="C14" s="83" t="s">
        <v>77</v>
      </c>
      <c r="D14" s="78" t="s">
        <v>40</v>
      </c>
      <c r="E14" s="88">
        <f t="shared" si="1"/>
        <v>44.9</v>
      </c>
      <c r="F14" s="88" t="s">
        <v>19</v>
      </c>
      <c r="G14" s="88">
        <v>44.9</v>
      </c>
      <c r="H14" s="3">
        <f t="shared" si="2"/>
        <v>44.9</v>
      </c>
      <c r="I14" s="3" t="s">
        <v>19</v>
      </c>
      <c r="J14" s="3">
        <v>44.9</v>
      </c>
      <c r="K14" s="3">
        <f t="shared" si="0"/>
        <v>44.9</v>
      </c>
      <c r="L14" s="3" t="s">
        <v>19</v>
      </c>
      <c r="M14" s="3">
        <v>44.9</v>
      </c>
      <c r="N14" s="13">
        <f t="shared" si="3"/>
        <v>1</v>
      </c>
      <c r="O14" s="13">
        <f t="shared" si="4"/>
        <v>1</v>
      </c>
    </row>
    <row r="15" spans="1:15" s="2" customFormat="1" ht="33" x14ac:dyDescent="0.25">
      <c r="A15" s="76" t="s">
        <v>43</v>
      </c>
      <c r="B15" s="82" t="s">
        <v>72</v>
      </c>
      <c r="C15" s="83" t="s">
        <v>77</v>
      </c>
      <c r="D15" s="78" t="s">
        <v>40</v>
      </c>
      <c r="E15" s="88">
        <f t="shared" si="1"/>
        <v>229.7</v>
      </c>
      <c r="F15" s="88" t="s">
        <v>19</v>
      </c>
      <c r="G15" s="88">
        <v>229.7</v>
      </c>
      <c r="H15" s="3">
        <f t="shared" si="2"/>
        <v>153.44999999999999</v>
      </c>
      <c r="I15" s="3" t="s">
        <v>19</v>
      </c>
      <c r="J15" s="3">
        <v>153.44999999999999</v>
      </c>
      <c r="K15" s="3">
        <f t="shared" si="0"/>
        <v>153.4</v>
      </c>
      <c r="L15" s="3" t="s">
        <v>19</v>
      </c>
      <c r="M15" s="3">
        <v>153.4</v>
      </c>
      <c r="N15" s="13">
        <f t="shared" si="3"/>
        <v>0.6680452764475403</v>
      </c>
      <c r="O15" s="13">
        <f t="shared" si="4"/>
        <v>0.66782760121898133</v>
      </c>
    </row>
    <row r="16" spans="1:15" s="2" customFormat="1" ht="33" x14ac:dyDescent="0.25">
      <c r="A16" s="76" t="s">
        <v>44</v>
      </c>
      <c r="B16" s="82" t="s">
        <v>73</v>
      </c>
      <c r="C16" s="83" t="s">
        <v>77</v>
      </c>
      <c r="D16" s="78" t="s">
        <v>40</v>
      </c>
      <c r="E16" s="88">
        <f t="shared" si="1"/>
        <v>187.7</v>
      </c>
      <c r="F16" s="88" t="s">
        <v>19</v>
      </c>
      <c r="G16" s="88">
        <v>187.7</v>
      </c>
      <c r="H16" s="3">
        <f t="shared" si="2"/>
        <v>133.46</v>
      </c>
      <c r="I16" s="3" t="s">
        <v>19</v>
      </c>
      <c r="J16" s="3">
        <v>133.46</v>
      </c>
      <c r="K16" s="3">
        <f t="shared" si="0"/>
        <v>133.5</v>
      </c>
      <c r="L16" s="3" t="s">
        <v>19</v>
      </c>
      <c r="M16" s="3">
        <v>133.5</v>
      </c>
      <c r="N16" s="13">
        <f t="shared" si="3"/>
        <v>0.71102823654768255</v>
      </c>
      <c r="O16" s="13">
        <f t="shared" si="4"/>
        <v>0.71124134256792759</v>
      </c>
    </row>
    <row r="17" spans="1:15" s="2" customFormat="1" ht="33" x14ac:dyDescent="0.25">
      <c r="A17" s="76" t="s">
        <v>45</v>
      </c>
      <c r="B17" s="82" t="s">
        <v>74</v>
      </c>
      <c r="C17" s="83" t="s">
        <v>77</v>
      </c>
      <c r="D17" s="78" t="s">
        <v>40</v>
      </c>
      <c r="E17" s="88">
        <f t="shared" si="1"/>
        <v>192.6</v>
      </c>
      <c r="F17" s="88" t="s">
        <v>19</v>
      </c>
      <c r="G17" s="88">
        <v>192.6</v>
      </c>
      <c r="H17" s="3">
        <f t="shared" si="2"/>
        <v>147.18</v>
      </c>
      <c r="I17" s="3" t="s">
        <v>19</v>
      </c>
      <c r="J17" s="3">
        <v>147.18</v>
      </c>
      <c r="K17" s="3">
        <f t="shared" si="0"/>
        <v>147.19999999999999</v>
      </c>
      <c r="L17" s="3" t="s">
        <v>19</v>
      </c>
      <c r="M17" s="3">
        <v>147.19999999999999</v>
      </c>
      <c r="N17" s="13">
        <f t="shared" si="3"/>
        <v>0.76417445482866053</v>
      </c>
      <c r="O17" s="13">
        <f t="shared" si="4"/>
        <v>0.7642782969885773</v>
      </c>
    </row>
    <row r="18" spans="1:15" s="2" customFormat="1" ht="33" x14ac:dyDescent="0.25">
      <c r="A18" s="76" t="s">
        <v>46</v>
      </c>
      <c r="B18" s="82" t="s">
        <v>75</v>
      </c>
      <c r="C18" s="83" t="s">
        <v>77</v>
      </c>
      <c r="D18" s="78" t="s">
        <v>40</v>
      </c>
      <c r="E18" s="88">
        <f t="shared" si="1"/>
        <v>112.3</v>
      </c>
      <c r="F18" s="88" t="s">
        <v>19</v>
      </c>
      <c r="G18" s="88">
        <v>112.3</v>
      </c>
      <c r="H18" s="3">
        <f t="shared" si="2"/>
        <v>111.06</v>
      </c>
      <c r="I18" s="3" t="s">
        <v>19</v>
      </c>
      <c r="J18" s="3">
        <v>111.06</v>
      </c>
      <c r="K18" s="3">
        <f t="shared" si="0"/>
        <v>111.1</v>
      </c>
      <c r="L18" s="3" t="s">
        <v>19</v>
      </c>
      <c r="M18" s="3">
        <v>111.1</v>
      </c>
      <c r="N18" s="13">
        <f t="shared" si="3"/>
        <v>0.98895814781834379</v>
      </c>
      <c r="O18" s="13">
        <f t="shared" si="4"/>
        <v>0.98931433659839707</v>
      </c>
    </row>
    <row r="19" spans="1:15" s="2" customFormat="1" ht="33" x14ac:dyDescent="0.25">
      <c r="A19" s="76" t="s">
        <v>47</v>
      </c>
      <c r="B19" s="82" t="s">
        <v>76</v>
      </c>
      <c r="C19" s="83" t="s">
        <v>77</v>
      </c>
      <c r="D19" s="78" t="s">
        <v>40</v>
      </c>
      <c r="E19" s="88">
        <f>G19</f>
        <v>236.2</v>
      </c>
      <c r="F19" s="88" t="s">
        <v>19</v>
      </c>
      <c r="G19" s="88">
        <v>236.2</v>
      </c>
      <c r="H19" s="3">
        <f t="shared" si="2"/>
        <v>236.2</v>
      </c>
      <c r="I19" s="3" t="s">
        <v>19</v>
      </c>
      <c r="J19" s="3">
        <v>236.2</v>
      </c>
      <c r="K19" s="3">
        <f t="shared" si="0"/>
        <v>236.2</v>
      </c>
      <c r="L19" s="3" t="s">
        <v>19</v>
      </c>
      <c r="M19" s="3">
        <v>236.2</v>
      </c>
      <c r="N19" s="13">
        <f t="shared" si="3"/>
        <v>1</v>
      </c>
      <c r="O19" s="13">
        <f t="shared" si="4"/>
        <v>1</v>
      </c>
    </row>
    <row r="20" spans="1:15" s="2" customFormat="1" x14ac:dyDescent="0.25">
      <c r="A20" s="76"/>
      <c r="B20" s="203" t="s">
        <v>78</v>
      </c>
      <c r="C20" s="203"/>
      <c r="D20" s="203"/>
      <c r="E20" s="112">
        <f t="shared" ref="E20:E23" si="5">G20</f>
        <v>304.39999999999998</v>
      </c>
      <c r="F20" s="112">
        <v>0</v>
      </c>
      <c r="G20" s="112">
        <f t="shared" ref="G20:M20" si="6">SUM(G21:G23)</f>
        <v>304.39999999999998</v>
      </c>
      <c r="H20" s="6">
        <f t="shared" si="6"/>
        <v>304.33</v>
      </c>
      <c r="I20" s="6">
        <f t="shared" si="6"/>
        <v>0</v>
      </c>
      <c r="J20" s="6">
        <f t="shared" si="6"/>
        <v>304.33</v>
      </c>
      <c r="K20" s="6">
        <f t="shared" si="6"/>
        <v>304.33</v>
      </c>
      <c r="L20" s="6">
        <f t="shared" si="6"/>
        <v>0</v>
      </c>
      <c r="M20" s="6">
        <f t="shared" si="6"/>
        <v>304.33</v>
      </c>
      <c r="N20" s="139">
        <f t="shared" si="3"/>
        <v>0.99977003942181342</v>
      </c>
      <c r="O20" s="139">
        <f t="shared" si="4"/>
        <v>0.99977003942181342</v>
      </c>
    </row>
    <row r="21" spans="1:15" s="2" customFormat="1" ht="33" x14ac:dyDescent="0.25">
      <c r="A21" s="76" t="s">
        <v>58</v>
      </c>
      <c r="B21" s="14" t="s">
        <v>5</v>
      </c>
      <c r="C21" s="83" t="s">
        <v>77</v>
      </c>
      <c r="D21" s="78" t="s">
        <v>40</v>
      </c>
      <c r="E21" s="88">
        <f t="shared" si="5"/>
        <v>50.1</v>
      </c>
      <c r="F21" s="88" t="s">
        <v>19</v>
      </c>
      <c r="G21" s="88">
        <v>50.1</v>
      </c>
      <c r="H21" s="3">
        <f t="shared" ref="H21:H23" si="7">J21</f>
        <v>50.1</v>
      </c>
      <c r="I21" s="3" t="s">
        <v>19</v>
      </c>
      <c r="J21" s="3">
        <v>50.1</v>
      </c>
      <c r="K21" s="3">
        <f t="shared" ref="K21:K22" si="8">M21</f>
        <v>50.1</v>
      </c>
      <c r="L21" s="3" t="s">
        <v>19</v>
      </c>
      <c r="M21" s="3">
        <v>50.1</v>
      </c>
      <c r="N21" s="13">
        <f t="shared" si="3"/>
        <v>1</v>
      </c>
      <c r="O21" s="13">
        <f t="shared" si="4"/>
        <v>1</v>
      </c>
    </row>
    <row r="22" spans="1:15" s="2" customFormat="1" ht="33" x14ac:dyDescent="0.25">
      <c r="A22" s="76" t="s">
        <v>59</v>
      </c>
      <c r="B22" s="14" t="s">
        <v>4</v>
      </c>
      <c r="C22" s="83" t="s">
        <v>77</v>
      </c>
      <c r="D22" s="78" t="s">
        <v>40</v>
      </c>
      <c r="E22" s="88">
        <f t="shared" si="5"/>
        <v>110.6</v>
      </c>
      <c r="F22" s="88" t="s">
        <v>19</v>
      </c>
      <c r="G22" s="88">
        <v>110.6</v>
      </c>
      <c r="H22" s="3">
        <f t="shared" si="7"/>
        <v>110.6</v>
      </c>
      <c r="I22" s="3" t="s">
        <v>19</v>
      </c>
      <c r="J22" s="3">
        <v>110.6</v>
      </c>
      <c r="K22" s="3">
        <f t="shared" si="8"/>
        <v>110.6</v>
      </c>
      <c r="L22" s="3" t="s">
        <v>19</v>
      </c>
      <c r="M22" s="3">
        <v>110.6</v>
      </c>
      <c r="N22" s="13">
        <f t="shared" si="3"/>
        <v>1</v>
      </c>
      <c r="O22" s="13">
        <f t="shared" si="4"/>
        <v>1</v>
      </c>
    </row>
    <row r="23" spans="1:15" s="2" customFormat="1" ht="33" x14ac:dyDescent="0.25">
      <c r="A23" s="76" t="s">
        <v>60</v>
      </c>
      <c r="B23" s="14" t="s">
        <v>0</v>
      </c>
      <c r="C23" s="83" t="s">
        <v>77</v>
      </c>
      <c r="D23" s="78" t="s">
        <v>40</v>
      </c>
      <c r="E23" s="88">
        <f t="shared" si="5"/>
        <v>143.69999999999999</v>
      </c>
      <c r="F23" s="88" t="s">
        <v>19</v>
      </c>
      <c r="G23" s="88">
        <v>143.69999999999999</v>
      </c>
      <c r="H23" s="3">
        <f t="shared" si="7"/>
        <v>143.63</v>
      </c>
      <c r="I23" s="3" t="s">
        <v>19</v>
      </c>
      <c r="J23" s="3">
        <v>143.63</v>
      </c>
      <c r="K23" s="3">
        <f>M23</f>
        <v>143.63</v>
      </c>
      <c r="L23" s="3" t="s">
        <v>19</v>
      </c>
      <c r="M23" s="3">
        <v>143.63</v>
      </c>
      <c r="N23" s="13">
        <f t="shared" si="3"/>
        <v>0.99951287404314548</v>
      </c>
      <c r="O23" s="13">
        <f t="shared" si="4"/>
        <v>0.99951287404314548</v>
      </c>
    </row>
    <row r="24" spans="1:15" s="2" customFormat="1" ht="71.25" customHeight="1" x14ac:dyDescent="0.25">
      <c r="A24" s="76"/>
      <c r="B24" s="203" t="s">
        <v>79</v>
      </c>
      <c r="C24" s="203"/>
      <c r="D24" s="203"/>
      <c r="E24" s="6">
        <f>G24</f>
        <v>16642.190000000002</v>
      </c>
      <c r="F24" s="6">
        <v>0</v>
      </c>
      <c r="G24" s="6">
        <f>SUM(G25:G40)</f>
        <v>16642.190000000002</v>
      </c>
      <c r="H24" s="6">
        <f t="shared" ref="H24:J24" si="9">SUM(H25:H40)</f>
        <v>11926.9233</v>
      </c>
      <c r="I24" s="6">
        <f t="shared" si="9"/>
        <v>0</v>
      </c>
      <c r="J24" s="6">
        <f t="shared" si="9"/>
        <v>11926.9233</v>
      </c>
      <c r="K24" s="6">
        <f>M24</f>
        <v>11926.9233</v>
      </c>
      <c r="L24" s="6">
        <v>0</v>
      </c>
      <c r="M24" s="6">
        <f>SUM(M25:M40)</f>
        <v>11926.9233</v>
      </c>
      <c r="N24" s="139">
        <f t="shared" si="3"/>
        <v>0.71666789647275986</v>
      </c>
      <c r="O24" s="139">
        <f t="shared" si="4"/>
        <v>0.71666789647275986</v>
      </c>
    </row>
    <row r="25" spans="1:15" s="2" customFormat="1" ht="33" x14ac:dyDescent="0.25">
      <c r="A25" s="76" t="s">
        <v>83</v>
      </c>
      <c r="B25" s="15" t="s">
        <v>64</v>
      </c>
      <c r="C25" s="83" t="s">
        <v>77</v>
      </c>
      <c r="D25" s="78" t="s">
        <v>40</v>
      </c>
      <c r="E25" s="3">
        <f>G25</f>
        <v>998.2</v>
      </c>
      <c r="F25" s="3" t="s">
        <v>19</v>
      </c>
      <c r="G25" s="140">
        <v>998.2</v>
      </c>
      <c r="H25" s="3">
        <f>J25</f>
        <v>998.2</v>
      </c>
      <c r="I25" s="3" t="s">
        <v>19</v>
      </c>
      <c r="J25" s="3">
        <v>998.2</v>
      </c>
      <c r="K25" s="3">
        <f t="shared" ref="K25:K40" si="10">M25</f>
        <v>998.2</v>
      </c>
      <c r="L25" s="3" t="s">
        <v>19</v>
      </c>
      <c r="M25" s="3">
        <v>998.2</v>
      </c>
      <c r="N25" s="13">
        <f t="shared" si="3"/>
        <v>1</v>
      </c>
      <c r="O25" s="13">
        <f t="shared" si="4"/>
        <v>1</v>
      </c>
    </row>
    <row r="26" spans="1:15" s="2" customFormat="1" ht="33" x14ac:dyDescent="0.25">
      <c r="A26" s="76" t="s">
        <v>84</v>
      </c>
      <c r="B26" s="15" t="s">
        <v>65</v>
      </c>
      <c r="C26" s="83" t="s">
        <v>77</v>
      </c>
      <c r="D26" s="78" t="s">
        <v>40</v>
      </c>
      <c r="E26" s="3">
        <f t="shared" ref="E26:E40" si="11">G26</f>
        <v>992.1</v>
      </c>
      <c r="F26" s="3" t="s">
        <v>19</v>
      </c>
      <c r="G26" s="140">
        <v>992.1</v>
      </c>
      <c r="H26" s="3">
        <f>J26</f>
        <v>992.1</v>
      </c>
      <c r="I26" s="3" t="s">
        <v>19</v>
      </c>
      <c r="J26" s="3">
        <v>992.1</v>
      </c>
      <c r="K26" s="3">
        <f t="shared" si="10"/>
        <v>992.1</v>
      </c>
      <c r="L26" s="3" t="s">
        <v>19</v>
      </c>
      <c r="M26" s="3">
        <v>992.1</v>
      </c>
      <c r="N26" s="13">
        <f t="shared" si="3"/>
        <v>1</v>
      </c>
      <c r="O26" s="13">
        <f t="shared" si="4"/>
        <v>1</v>
      </c>
    </row>
    <row r="27" spans="1:15" s="2" customFormat="1" ht="33" x14ac:dyDescent="0.25">
      <c r="A27" s="76" t="s">
        <v>85</v>
      </c>
      <c r="B27" s="15" t="s">
        <v>80</v>
      </c>
      <c r="C27" s="83" t="s">
        <v>77</v>
      </c>
      <c r="D27" s="78" t="s">
        <v>40</v>
      </c>
      <c r="E27" s="3" t="s">
        <v>19</v>
      </c>
      <c r="F27" s="3" t="s">
        <v>19</v>
      </c>
      <c r="G27" s="3" t="s">
        <v>19</v>
      </c>
      <c r="H27" s="3" t="s">
        <v>19</v>
      </c>
      <c r="I27" s="3" t="s">
        <v>19</v>
      </c>
      <c r="J27" s="3" t="s">
        <v>19</v>
      </c>
      <c r="K27" s="3" t="s">
        <v>19</v>
      </c>
      <c r="L27" s="3" t="s">
        <v>19</v>
      </c>
      <c r="M27" s="3" t="s">
        <v>19</v>
      </c>
      <c r="N27" s="13">
        <v>0</v>
      </c>
      <c r="O27" s="13">
        <v>0</v>
      </c>
    </row>
    <row r="28" spans="1:15" s="2" customFormat="1" ht="33" x14ac:dyDescent="0.25">
      <c r="A28" s="76" t="s">
        <v>86</v>
      </c>
      <c r="B28" s="15" t="s">
        <v>67</v>
      </c>
      <c r="C28" s="83" t="s">
        <v>77</v>
      </c>
      <c r="D28" s="78" t="s">
        <v>40</v>
      </c>
      <c r="E28" s="3">
        <f t="shared" si="11"/>
        <v>716.1</v>
      </c>
      <c r="F28" s="3" t="s">
        <v>19</v>
      </c>
      <c r="G28" s="140">
        <v>716.1</v>
      </c>
      <c r="H28" s="3">
        <f t="shared" ref="H28:H40" si="12">J28</f>
        <v>706.98</v>
      </c>
      <c r="I28" s="3" t="s">
        <v>19</v>
      </c>
      <c r="J28" s="3">
        <v>706.98</v>
      </c>
      <c r="K28" s="3">
        <f t="shared" si="10"/>
        <v>706.98</v>
      </c>
      <c r="L28" s="3" t="s">
        <v>19</v>
      </c>
      <c r="M28" s="3">
        <v>706.98</v>
      </c>
      <c r="N28" s="13">
        <f t="shared" si="3"/>
        <v>0.98726434855467116</v>
      </c>
      <c r="O28" s="13">
        <f t="shared" si="4"/>
        <v>0.98726434855467116</v>
      </c>
    </row>
    <row r="29" spans="1:15" s="2" customFormat="1" ht="33" x14ac:dyDescent="0.25">
      <c r="A29" s="76" t="s">
        <v>87</v>
      </c>
      <c r="B29" s="15" t="s">
        <v>68</v>
      </c>
      <c r="C29" s="83" t="s">
        <v>77</v>
      </c>
      <c r="D29" s="78" t="s">
        <v>40</v>
      </c>
      <c r="E29" s="3">
        <f t="shared" si="11"/>
        <v>231.90000000000003</v>
      </c>
      <c r="F29" s="3" t="s">
        <v>19</v>
      </c>
      <c r="G29" s="140">
        <v>231.90000000000003</v>
      </c>
      <c r="H29" s="3">
        <f t="shared" si="12"/>
        <v>229.7833</v>
      </c>
      <c r="I29" s="3" t="s">
        <v>19</v>
      </c>
      <c r="J29" s="3">
        <v>229.7833</v>
      </c>
      <c r="K29" s="3">
        <f t="shared" si="10"/>
        <v>229.7833</v>
      </c>
      <c r="L29" s="3" t="s">
        <v>19</v>
      </c>
      <c r="M29" s="3">
        <v>229.7833</v>
      </c>
      <c r="N29" s="13">
        <f t="shared" si="3"/>
        <v>0.99087235877533408</v>
      </c>
      <c r="O29" s="13">
        <f t="shared" si="4"/>
        <v>0.99087235877533408</v>
      </c>
    </row>
    <row r="30" spans="1:15" s="2" customFormat="1" ht="33" x14ac:dyDescent="0.25">
      <c r="A30" s="76" t="s">
        <v>88</v>
      </c>
      <c r="B30" s="15" t="s">
        <v>69</v>
      </c>
      <c r="C30" s="83" t="s">
        <v>77</v>
      </c>
      <c r="D30" s="78" t="s">
        <v>40</v>
      </c>
      <c r="E30" s="3">
        <f t="shared" si="11"/>
        <v>1008.3000000000001</v>
      </c>
      <c r="F30" s="3" t="s">
        <v>19</v>
      </c>
      <c r="G30" s="140">
        <v>1008.3000000000001</v>
      </c>
      <c r="H30" s="3">
        <f t="shared" si="12"/>
        <v>623.26</v>
      </c>
      <c r="I30" s="3" t="s">
        <v>19</v>
      </c>
      <c r="J30" s="3">
        <v>623.26</v>
      </c>
      <c r="K30" s="3">
        <f t="shared" si="10"/>
        <v>623.26</v>
      </c>
      <c r="L30" s="3" t="s">
        <v>19</v>
      </c>
      <c r="M30" s="3">
        <v>623.26</v>
      </c>
      <c r="N30" s="13">
        <f t="shared" si="3"/>
        <v>0.61812952494297324</v>
      </c>
      <c r="O30" s="13">
        <f t="shared" si="4"/>
        <v>0.61812952494297324</v>
      </c>
    </row>
    <row r="31" spans="1:15" s="2" customFormat="1" ht="33" x14ac:dyDescent="0.25">
      <c r="A31" s="76" t="s">
        <v>89</v>
      </c>
      <c r="B31" s="15" t="s">
        <v>70</v>
      </c>
      <c r="C31" s="83" t="s">
        <v>77</v>
      </c>
      <c r="D31" s="78" t="s">
        <v>40</v>
      </c>
      <c r="E31" s="3">
        <f t="shared" si="11"/>
        <v>2173.1</v>
      </c>
      <c r="F31" s="3" t="s">
        <v>19</v>
      </c>
      <c r="G31" s="140">
        <v>2173.1</v>
      </c>
      <c r="H31" s="3">
        <f t="shared" si="12"/>
        <v>2173.1</v>
      </c>
      <c r="I31" s="3" t="s">
        <v>19</v>
      </c>
      <c r="J31" s="3">
        <v>2173.1</v>
      </c>
      <c r="K31" s="3">
        <f t="shared" si="10"/>
        <v>2173.1</v>
      </c>
      <c r="L31" s="3" t="s">
        <v>19</v>
      </c>
      <c r="M31" s="3">
        <v>2173.1</v>
      </c>
      <c r="N31" s="13">
        <f t="shared" si="3"/>
        <v>1</v>
      </c>
      <c r="O31" s="13">
        <f t="shared" si="4"/>
        <v>1</v>
      </c>
    </row>
    <row r="32" spans="1:15" s="2" customFormat="1" ht="33" x14ac:dyDescent="0.25">
      <c r="A32" s="76" t="s">
        <v>90</v>
      </c>
      <c r="B32" s="15" t="s">
        <v>81</v>
      </c>
      <c r="C32" s="83" t="s">
        <v>77</v>
      </c>
      <c r="D32" s="78" t="s">
        <v>40</v>
      </c>
      <c r="E32" s="3">
        <f t="shared" si="11"/>
        <v>4174</v>
      </c>
      <c r="F32" s="3" t="s">
        <v>19</v>
      </c>
      <c r="G32" s="140">
        <f>1260.4+2913.6</f>
        <v>4174</v>
      </c>
      <c r="H32" s="3">
        <f t="shared" si="12"/>
        <v>2075.4</v>
      </c>
      <c r="I32" s="3" t="s">
        <v>19</v>
      </c>
      <c r="J32" s="3">
        <v>2075.4</v>
      </c>
      <c r="K32" s="3">
        <f t="shared" si="10"/>
        <v>2075.4</v>
      </c>
      <c r="L32" s="3" t="s">
        <v>19</v>
      </c>
      <c r="M32" s="3">
        <v>2075.4</v>
      </c>
      <c r="N32" s="13">
        <f t="shared" si="3"/>
        <v>0.4972208912314327</v>
      </c>
      <c r="O32" s="13">
        <f t="shared" si="4"/>
        <v>0.4972208912314327</v>
      </c>
    </row>
    <row r="33" spans="1:15" s="2" customFormat="1" ht="33" x14ac:dyDescent="0.25">
      <c r="A33" s="76" t="s">
        <v>91</v>
      </c>
      <c r="B33" s="15" t="s">
        <v>82</v>
      </c>
      <c r="C33" s="83" t="s">
        <v>77</v>
      </c>
      <c r="D33" s="78" t="s">
        <v>40</v>
      </c>
      <c r="E33" s="3">
        <f t="shared" si="11"/>
        <v>1159.7</v>
      </c>
      <c r="F33" s="3" t="s">
        <v>19</v>
      </c>
      <c r="G33" s="140">
        <v>1159.7</v>
      </c>
      <c r="H33" s="3">
        <f t="shared" si="12"/>
        <v>1159.7</v>
      </c>
      <c r="I33" s="3" t="s">
        <v>19</v>
      </c>
      <c r="J33" s="3">
        <v>1159.7</v>
      </c>
      <c r="K33" s="3">
        <f t="shared" si="10"/>
        <v>1159.7</v>
      </c>
      <c r="L33" s="3" t="s">
        <v>19</v>
      </c>
      <c r="M33" s="3">
        <v>1159.7</v>
      </c>
      <c r="N33" s="13">
        <f t="shared" si="3"/>
        <v>1</v>
      </c>
      <c r="O33" s="13">
        <f t="shared" si="4"/>
        <v>1</v>
      </c>
    </row>
    <row r="34" spans="1:15" s="2" customFormat="1" ht="33" x14ac:dyDescent="0.25">
      <c r="A34" s="76" t="s">
        <v>92</v>
      </c>
      <c r="B34" s="15" t="s">
        <v>71</v>
      </c>
      <c r="C34" s="83" t="s">
        <v>77</v>
      </c>
      <c r="D34" s="78" t="s">
        <v>40</v>
      </c>
      <c r="E34" s="3">
        <f t="shared" si="11"/>
        <v>680.59999999999991</v>
      </c>
      <c r="F34" s="3" t="s">
        <v>19</v>
      </c>
      <c r="G34" s="140">
        <v>680.59999999999991</v>
      </c>
      <c r="H34" s="3">
        <f t="shared" si="12"/>
        <v>680.6</v>
      </c>
      <c r="I34" s="3" t="s">
        <v>19</v>
      </c>
      <c r="J34" s="3">
        <v>680.6</v>
      </c>
      <c r="K34" s="3">
        <f t="shared" si="10"/>
        <v>680.6</v>
      </c>
      <c r="L34" s="3" t="s">
        <v>19</v>
      </c>
      <c r="M34" s="3">
        <v>680.6</v>
      </c>
      <c r="N34" s="13">
        <f t="shared" si="3"/>
        <v>1.0000000000000002</v>
      </c>
      <c r="O34" s="13">
        <f t="shared" si="4"/>
        <v>1.0000000000000002</v>
      </c>
    </row>
    <row r="35" spans="1:15" s="2" customFormat="1" ht="33" x14ac:dyDescent="0.25">
      <c r="A35" s="76" t="s">
        <v>93</v>
      </c>
      <c r="B35" s="15" t="s">
        <v>104</v>
      </c>
      <c r="C35" s="83" t="s">
        <v>77</v>
      </c>
      <c r="D35" s="78" t="s">
        <v>40</v>
      </c>
      <c r="E35" s="3">
        <f t="shared" si="11"/>
        <v>214.3</v>
      </c>
      <c r="F35" s="3"/>
      <c r="G35" s="140">
        <v>214.3</v>
      </c>
      <c r="H35" s="3">
        <f t="shared" si="12"/>
        <v>214.3</v>
      </c>
      <c r="I35" s="3"/>
      <c r="J35" s="3">
        <v>214.3</v>
      </c>
      <c r="K35" s="3">
        <f t="shared" ref="K35" si="13">M35</f>
        <v>214.3</v>
      </c>
      <c r="L35" s="3" t="s">
        <v>19</v>
      </c>
      <c r="M35" s="3">
        <v>214.3</v>
      </c>
      <c r="N35" s="13">
        <f t="shared" si="3"/>
        <v>1</v>
      </c>
      <c r="O35" s="13">
        <f t="shared" si="4"/>
        <v>1</v>
      </c>
    </row>
    <row r="36" spans="1:15" s="2" customFormat="1" ht="33" x14ac:dyDescent="0.25">
      <c r="A36" s="76" t="s">
        <v>94</v>
      </c>
      <c r="B36" s="15" t="s">
        <v>72</v>
      </c>
      <c r="C36" s="83" t="s">
        <v>77</v>
      </c>
      <c r="D36" s="78" t="s">
        <v>40</v>
      </c>
      <c r="E36" s="3" t="s">
        <v>19</v>
      </c>
      <c r="F36" s="3" t="s">
        <v>19</v>
      </c>
      <c r="G36" s="3" t="s">
        <v>19</v>
      </c>
      <c r="H36" s="3" t="s">
        <v>19</v>
      </c>
      <c r="I36" s="3" t="s">
        <v>19</v>
      </c>
      <c r="J36" s="3" t="s">
        <v>19</v>
      </c>
      <c r="K36" s="3" t="s">
        <v>19</v>
      </c>
      <c r="L36" s="3" t="s">
        <v>19</v>
      </c>
      <c r="M36" s="3" t="s">
        <v>19</v>
      </c>
      <c r="N36" s="13">
        <v>0</v>
      </c>
      <c r="O36" s="13">
        <v>0</v>
      </c>
    </row>
    <row r="37" spans="1:15" s="2" customFormat="1" ht="33" x14ac:dyDescent="0.25">
      <c r="A37" s="76" t="s">
        <v>95</v>
      </c>
      <c r="B37" s="15" t="s">
        <v>73</v>
      </c>
      <c r="C37" s="83" t="s">
        <v>77</v>
      </c>
      <c r="D37" s="78" t="s">
        <v>40</v>
      </c>
      <c r="E37" s="3">
        <f t="shared" si="11"/>
        <v>771.3</v>
      </c>
      <c r="F37" s="3" t="s">
        <v>19</v>
      </c>
      <c r="G37" s="140">
        <v>771.3</v>
      </c>
      <c r="H37" s="3">
        <f t="shared" si="12"/>
        <v>771.3</v>
      </c>
      <c r="I37" s="3" t="s">
        <v>19</v>
      </c>
      <c r="J37" s="3">
        <v>771.3</v>
      </c>
      <c r="K37" s="3">
        <f t="shared" si="10"/>
        <v>771.3</v>
      </c>
      <c r="L37" s="3" t="s">
        <v>19</v>
      </c>
      <c r="M37" s="3">
        <v>771.3</v>
      </c>
      <c r="N37" s="13">
        <f t="shared" si="3"/>
        <v>1</v>
      </c>
      <c r="O37" s="13">
        <f t="shared" si="4"/>
        <v>1</v>
      </c>
    </row>
    <row r="38" spans="1:15" s="2" customFormat="1" ht="33" x14ac:dyDescent="0.25">
      <c r="A38" s="76" t="s">
        <v>96</v>
      </c>
      <c r="B38" s="15" t="s">
        <v>74</v>
      </c>
      <c r="C38" s="83" t="s">
        <v>77</v>
      </c>
      <c r="D38" s="78" t="s">
        <v>40</v>
      </c>
      <c r="E38" s="3">
        <f t="shared" si="11"/>
        <v>668</v>
      </c>
      <c r="F38" s="3" t="s">
        <v>19</v>
      </c>
      <c r="G38" s="140">
        <v>668</v>
      </c>
      <c r="H38" s="3">
        <f t="shared" si="12"/>
        <v>668</v>
      </c>
      <c r="I38" s="3" t="s">
        <v>19</v>
      </c>
      <c r="J38" s="3">
        <v>668</v>
      </c>
      <c r="K38" s="3">
        <f t="shared" si="10"/>
        <v>668</v>
      </c>
      <c r="L38" s="3" t="s">
        <v>19</v>
      </c>
      <c r="M38" s="3">
        <v>668</v>
      </c>
      <c r="N38" s="13">
        <f t="shared" si="3"/>
        <v>1</v>
      </c>
      <c r="O38" s="13">
        <f t="shared" si="4"/>
        <v>1</v>
      </c>
    </row>
    <row r="39" spans="1:15" s="2" customFormat="1" ht="33" x14ac:dyDescent="0.25">
      <c r="A39" s="76" t="s">
        <v>97</v>
      </c>
      <c r="B39" s="15" t="s">
        <v>76</v>
      </c>
      <c r="C39" s="83" t="s">
        <v>77</v>
      </c>
      <c r="D39" s="78" t="s">
        <v>40</v>
      </c>
      <c r="E39" s="3">
        <f t="shared" si="11"/>
        <v>634.19999999999993</v>
      </c>
      <c r="F39" s="3" t="s">
        <v>19</v>
      </c>
      <c r="G39" s="140">
        <v>634.19999999999993</v>
      </c>
      <c r="H39" s="3">
        <f t="shared" si="12"/>
        <v>634.20000000000005</v>
      </c>
      <c r="I39" s="3" t="s">
        <v>19</v>
      </c>
      <c r="J39" s="3">
        <v>634.20000000000005</v>
      </c>
      <c r="K39" s="3">
        <f t="shared" si="10"/>
        <v>634.20000000000005</v>
      </c>
      <c r="L39" s="3" t="s">
        <v>19</v>
      </c>
      <c r="M39" s="3">
        <v>634.20000000000005</v>
      </c>
      <c r="N39" s="13">
        <f t="shared" si="3"/>
        <v>1.0000000000000002</v>
      </c>
      <c r="O39" s="13">
        <f t="shared" si="4"/>
        <v>1.0000000000000002</v>
      </c>
    </row>
    <row r="40" spans="1:15" s="2" customFormat="1" ht="33" x14ac:dyDescent="0.25">
      <c r="A40" s="76" t="s">
        <v>456</v>
      </c>
      <c r="B40" s="15" t="s">
        <v>6</v>
      </c>
      <c r="C40" s="83" t="s">
        <v>77</v>
      </c>
      <c r="D40" s="83" t="s">
        <v>77</v>
      </c>
      <c r="E40" s="3">
        <f t="shared" si="11"/>
        <v>2220.39</v>
      </c>
      <c r="F40" s="3" t="s">
        <v>19</v>
      </c>
      <c r="G40" s="140">
        <v>2220.39</v>
      </c>
      <c r="H40" s="3" t="str">
        <f t="shared" si="12"/>
        <v>-</v>
      </c>
      <c r="I40" s="3" t="s">
        <v>19</v>
      </c>
      <c r="J40" s="3" t="s">
        <v>19</v>
      </c>
      <c r="K40" s="3" t="str">
        <f t="shared" si="10"/>
        <v>-</v>
      </c>
      <c r="L40" s="3" t="s">
        <v>19</v>
      </c>
      <c r="M40" s="3" t="s">
        <v>19</v>
      </c>
      <c r="N40" s="13">
        <v>0</v>
      </c>
      <c r="O40" s="13">
        <v>0</v>
      </c>
    </row>
    <row r="41" spans="1:15" s="2" customFormat="1" ht="56.25" customHeight="1" x14ac:dyDescent="0.25">
      <c r="A41" s="76"/>
      <c r="B41" s="203" t="s">
        <v>98</v>
      </c>
      <c r="C41" s="203"/>
      <c r="D41" s="203"/>
      <c r="E41" s="112">
        <f>E42+E49</f>
        <v>19726.900000000001</v>
      </c>
      <c r="F41" s="112">
        <f t="shared" ref="F41:M41" si="14">F42+F49</f>
        <v>0</v>
      </c>
      <c r="G41" s="112">
        <f t="shared" si="14"/>
        <v>19726.900000000001</v>
      </c>
      <c r="H41" s="112">
        <f t="shared" si="14"/>
        <v>18518.410000000003</v>
      </c>
      <c r="I41" s="112">
        <f t="shared" si="14"/>
        <v>0</v>
      </c>
      <c r="J41" s="112">
        <f t="shared" si="14"/>
        <v>18518.410000000003</v>
      </c>
      <c r="K41" s="112">
        <f t="shared" si="14"/>
        <v>18518.379999999997</v>
      </c>
      <c r="L41" s="112">
        <f t="shared" si="14"/>
        <v>0</v>
      </c>
      <c r="M41" s="112">
        <f t="shared" si="14"/>
        <v>18518.379999999997</v>
      </c>
      <c r="N41" s="139">
        <f t="shared" si="3"/>
        <v>0.93873898078258633</v>
      </c>
      <c r="O41" s="139">
        <f t="shared" si="4"/>
        <v>0.93873746001652547</v>
      </c>
    </row>
    <row r="42" spans="1:15" s="2" customFormat="1" ht="37.5" customHeight="1" x14ac:dyDescent="0.25">
      <c r="A42" s="76" t="s">
        <v>173</v>
      </c>
      <c r="B42" s="203" t="s">
        <v>99</v>
      </c>
      <c r="C42" s="203"/>
      <c r="D42" s="203"/>
      <c r="E42" s="112">
        <f t="shared" ref="E42:M42" si="15">SUM(E43:E48)</f>
        <v>18292.400000000001</v>
      </c>
      <c r="F42" s="112">
        <f t="shared" si="15"/>
        <v>0</v>
      </c>
      <c r="G42" s="112">
        <f t="shared" si="15"/>
        <v>18292.400000000001</v>
      </c>
      <c r="H42" s="112">
        <f t="shared" si="15"/>
        <v>17137.330000000002</v>
      </c>
      <c r="I42" s="112">
        <f t="shared" si="15"/>
        <v>0</v>
      </c>
      <c r="J42" s="112">
        <f t="shared" si="15"/>
        <v>17137.330000000002</v>
      </c>
      <c r="K42" s="112">
        <f t="shared" si="15"/>
        <v>17137.3</v>
      </c>
      <c r="L42" s="112">
        <f t="shared" si="15"/>
        <v>0</v>
      </c>
      <c r="M42" s="112">
        <f t="shared" si="15"/>
        <v>17137.3</v>
      </c>
      <c r="N42" s="139">
        <f t="shared" si="3"/>
        <v>0.93685519669370887</v>
      </c>
      <c r="O42" s="139">
        <f t="shared" si="4"/>
        <v>0.93685355666834302</v>
      </c>
    </row>
    <row r="43" spans="1:15" s="2" customFormat="1" ht="49.5" x14ac:dyDescent="0.25">
      <c r="A43" s="76" t="s">
        <v>222</v>
      </c>
      <c r="B43" s="15" t="s">
        <v>100</v>
      </c>
      <c r="C43" s="78" t="s">
        <v>39</v>
      </c>
      <c r="D43" s="78" t="s">
        <v>3</v>
      </c>
      <c r="E43" s="88">
        <f t="shared" ref="E43:E50" si="16">G43</f>
        <v>13133.4</v>
      </c>
      <c r="F43" s="88" t="s">
        <v>19</v>
      </c>
      <c r="G43" s="113">
        <v>13133.4</v>
      </c>
      <c r="H43" s="3">
        <f t="shared" ref="H43:H44" si="17">J43</f>
        <v>13133.33</v>
      </c>
      <c r="I43" s="88" t="s">
        <v>19</v>
      </c>
      <c r="J43" s="3">
        <v>13133.33</v>
      </c>
      <c r="K43" s="3">
        <f t="shared" ref="K43:K44" si="18">M43</f>
        <v>13133.3</v>
      </c>
      <c r="L43" s="88" t="s">
        <v>19</v>
      </c>
      <c r="M43" s="3">
        <v>13133.3</v>
      </c>
      <c r="N43" s="13">
        <f t="shared" si="3"/>
        <v>0.99999467007781684</v>
      </c>
      <c r="O43" s="13">
        <f t="shared" si="4"/>
        <v>0.99999238582545269</v>
      </c>
    </row>
    <row r="44" spans="1:15" s="2" customFormat="1" ht="66" x14ac:dyDescent="0.25">
      <c r="A44" s="76" t="s">
        <v>223</v>
      </c>
      <c r="B44" s="15" t="s">
        <v>101</v>
      </c>
      <c r="C44" s="84" t="s">
        <v>39</v>
      </c>
      <c r="D44" s="78" t="s">
        <v>40</v>
      </c>
      <c r="E44" s="88">
        <f t="shared" si="16"/>
        <v>1220.2</v>
      </c>
      <c r="F44" s="88" t="s">
        <v>19</v>
      </c>
      <c r="G44" s="113">
        <v>1220.2</v>
      </c>
      <c r="H44" s="3">
        <f t="shared" si="17"/>
        <v>1220.2</v>
      </c>
      <c r="I44" s="88" t="s">
        <v>19</v>
      </c>
      <c r="J44" s="3">
        <v>1220.2</v>
      </c>
      <c r="K44" s="3">
        <f t="shared" si="18"/>
        <v>1220.2</v>
      </c>
      <c r="L44" s="88" t="s">
        <v>19</v>
      </c>
      <c r="M44" s="3">
        <v>1220.2</v>
      </c>
      <c r="N44" s="13">
        <f t="shared" si="3"/>
        <v>1</v>
      </c>
      <c r="O44" s="13">
        <f t="shared" si="4"/>
        <v>1</v>
      </c>
    </row>
    <row r="45" spans="1:15" s="2" customFormat="1" ht="49.5" x14ac:dyDescent="0.25">
      <c r="A45" s="76" t="s">
        <v>295</v>
      </c>
      <c r="B45" s="15" t="s">
        <v>296</v>
      </c>
      <c r="C45" s="78" t="s">
        <v>39</v>
      </c>
      <c r="D45" s="78" t="s">
        <v>3</v>
      </c>
      <c r="E45" s="88">
        <f t="shared" si="16"/>
        <v>450</v>
      </c>
      <c r="F45" s="88" t="s">
        <v>19</v>
      </c>
      <c r="G45" s="113">
        <v>450</v>
      </c>
      <c r="H45" s="3">
        <f t="shared" ref="H45:H47" si="19">J45</f>
        <v>450</v>
      </c>
      <c r="I45" s="88" t="s">
        <v>19</v>
      </c>
      <c r="J45" s="3">
        <v>450</v>
      </c>
      <c r="K45" s="3">
        <f t="shared" ref="K45:K47" si="20">M45</f>
        <v>450</v>
      </c>
      <c r="L45" s="88" t="s">
        <v>19</v>
      </c>
      <c r="M45" s="3">
        <v>450</v>
      </c>
      <c r="N45" s="13">
        <f t="shared" si="3"/>
        <v>1</v>
      </c>
      <c r="O45" s="13">
        <f t="shared" si="4"/>
        <v>1</v>
      </c>
    </row>
    <row r="46" spans="1:15" s="2" customFormat="1" ht="82.5" x14ac:dyDescent="0.25">
      <c r="A46" s="76" t="s">
        <v>387</v>
      </c>
      <c r="B46" s="89" t="s">
        <v>390</v>
      </c>
      <c r="C46" s="29" t="s">
        <v>39</v>
      </c>
      <c r="D46" s="9" t="s">
        <v>40</v>
      </c>
      <c r="E46" s="88">
        <f t="shared" si="16"/>
        <v>1178.9000000000001</v>
      </c>
      <c r="F46" s="88" t="s">
        <v>19</v>
      </c>
      <c r="G46" s="113">
        <v>1178.9000000000001</v>
      </c>
      <c r="H46" s="3">
        <f t="shared" si="19"/>
        <v>1178.9000000000001</v>
      </c>
      <c r="I46" s="88" t="s">
        <v>19</v>
      </c>
      <c r="J46" s="3">
        <v>1178.9000000000001</v>
      </c>
      <c r="K46" s="3">
        <f t="shared" si="20"/>
        <v>1178.9000000000001</v>
      </c>
      <c r="L46" s="88" t="s">
        <v>19</v>
      </c>
      <c r="M46" s="3">
        <v>1178.9000000000001</v>
      </c>
      <c r="N46" s="13">
        <f t="shared" si="3"/>
        <v>1</v>
      </c>
      <c r="O46" s="13">
        <f t="shared" si="4"/>
        <v>1</v>
      </c>
    </row>
    <row r="47" spans="1:15" s="2" customFormat="1" ht="66" x14ac:dyDescent="0.25">
      <c r="A47" s="76" t="s">
        <v>389</v>
      </c>
      <c r="B47" s="90" t="s">
        <v>388</v>
      </c>
      <c r="C47" s="29" t="s">
        <v>39</v>
      </c>
      <c r="D47" s="9" t="s">
        <v>40</v>
      </c>
      <c r="E47" s="88">
        <f t="shared" si="16"/>
        <v>1154.9000000000001</v>
      </c>
      <c r="F47" s="88" t="s">
        <v>19</v>
      </c>
      <c r="G47" s="113">
        <v>1154.9000000000001</v>
      </c>
      <c r="H47" s="3">
        <f t="shared" si="19"/>
        <v>1154.9000000000001</v>
      </c>
      <c r="I47" s="88" t="s">
        <v>19</v>
      </c>
      <c r="J47" s="3">
        <v>1154.9000000000001</v>
      </c>
      <c r="K47" s="3">
        <f t="shared" si="20"/>
        <v>1154.9000000000001</v>
      </c>
      <c r="L47" s="88" t="s">
        <v>19</v>
      </c>
      <c r="M47" s="3">
        <v>1154.9000000000001</v>
      </c>
      <c r="N47" s="13">
        <f>H47/E47</f>
        <v>1</v>
      </c>
      <c r="O47" s="13">
        <f t="shared" si="4"/>
        <v>1</v>
      </c>
    </row>
    <row r="48" spans="1:15" s="2" customFormat="1" ht="82.5" x14ac:dyDescent="0.25">
      <c r="A48" s="76" t="s">
        <v>437</v>
      </c>
      <c r="B48" s="90" t="s">
        <v>438</v>
      </c>
      <c r="C48" s="29" t="s">
        <v>77</v>
      </c>
      <c r="D48" s="9" t="s">
        <v>40</v>
      </c>
      <c r="E48" s="88">
        <f t="shared" si="16"/>
        <v>1155</v>
      </c>
      <c r="F48" s="88" t="s">
        <v>19</v>
      </c>
      <c r="G48" s="113">
        <v>1155</v>
      </c>
      <c r="H48" s="3" t="str">
        <f t="shared" ref="H48" si="21">J48</f>
        <v>-</v>
      </c>
      <c r="I48" s="88" t="s">
        <v>19</v>
      </c>
      <c r="J48" s="3" t="s">
        <v>19</v>
      </c>
      <c r="K48" s="3" t="str">
        <f t="shared" ref="K48" si="22">M48</f>
        <v>-</v>
      </c>
      <c r="L48" s="88" t="s">
        <v>19</v>
      </c>
      <c r="M48" s="3" t="s">
        <v>19</v>
      </c>
      <c r="N48" s="13">
        <v>0</v>
      </c>
      <c r="O48" s="13">
        <v>0</v>
      </c>
    </row>
    <row r="49" spans="1:15" s="2" customFormat="1" ht="57" customHeight="1" x14ac:dyDescent="0.25">
      <c r="A49" s="76" t="s">
        <v>221</v>
      </c>
      <c r="B49" s="203" t="s">
        <v>102</v>
      </c>
      <c r="C49" s="203"/>
      <c r="D49" s="203"/>
      <c r="E49" s="112">
        <f t="shared" si="16"/>
        <v>1434.5</v>
      </c>
      <c r="F49" s="112">
        <v>0</v>
      </c>
      <c r="G49" s="112">
        <f>SUM(G50:G61)</f>
        <v>1434.5</v>
      </c>
      <c r="H49" s="6">
        <f>J49</f>
        <v>1381.08</v>
      </c>
      <c r="I49" s="6">
        <v>0</v>
      </c>
      <c r="J49" s="6">
        <f>SUM(J50:J61)</f>
        <v>1381.08</v>
      </c>
      <c r="K49" s="6">
        <f>M49</f>
        <v>1381.08</v>
      </c>
      <c r="L49" s="6">
        <v>0</v>
      </c>
      <c r="M49" s="6">
        <f>SUM(M50:M61)</f>
        <v>1381.08</v>
      </c>
      <c r="N49" s="139">
        <f t="shared" si="3"/>
        <v>0.96276054374346454</v>
      </c>
      <c r="O49" s="139">
        <f t="shared" si="4"/>
        <v>0.96276054374346454</v>
      </c>
    </row>
    <row r="50" spans="1:15" s="2" customFormat="1" ht="33" x14ac:dyDescent="0.25">
      <c r="A50" s="76" t="s">
        <v>224</v>
      </c>
      <c r="B50" s="15" t="s">
        <v>103</v>
      </c>
      <c r="C50" s="78" t="s">
        <v>77</v>
      </c>
      <c r="D50" s="78" t="s">
        <v>40</v>
      </c>
      <c r="E50" s="88">
        <f t="shared" si="16"/>
        <v>25.6</v>
      </c>
      <c r="F50" s="88" t="s">
        <v>19</v>
      </c>
      <c r="G50" s="113">
        <v>25.6</v>
      </c>
      <c r="H50" s="3">
        <f>J50</f>
        <v>25.6</v>
      </c>
      <c r="I50" s="131" t="s">
        <v>19</v>
      </c>
      <c r="J50" s="3">
        <v>25.6</v>
      </c>
      <c r="K50" s="3">
        <f>M50</f>
        <v>25.6</v>
      </c>
      <c r="L50" s="3" t="s">
        <v>19</v>
      </c>
      <c r="M50" s="3">
        <v>25.6</v>
      </c>
      <c r="N50" s="13">
        <f t="shared" si="3"/>
        <v>1</v>
      </c>
      <c r="O50" s="13">
        <f t="shared" si="4"/>
        <v>1</v>
      </c>
    </row>
    <row r="51" spans="1:15" s="2" customFormat="1" ht="33" x14ac:dyDescent="0.25">
      <c r="A51" s="76" t="s">
        <v>225</v>
      </c>
      <c r="B51" s="15" t="s">
        <v>64</v>
      </c>
      <c r="C51" s="78" t="s">
        <v>77</v>
      </c>
      <c r="D51" s="78" t="s">
        <v>40</v>
      </c>
      <c r="E51" s="88">
        <f t="shared" ref="E51:E61" si="23">G51</f>
        <v>94.7</v>
      </c>
      <c r="F51" s="88" t="s">
        <v>19</v>
      </c>
      <c r="G51" s="113">
        <v>94.7</v>
      </c>
      <c r="H51" s="3">
        <f t="shared" ref="H51:H61" si="24">J51</f>
        <v>94.7</v>
      </c>
      <c r="I51" s="3" t="s">
        <v>19</v>
      </c>
      <c r="J51" s="3">
        <v>94.7</v>
      </c>
      <c r="K51" s="3">
        <f t="shared" ref="K51:K60" si="25">M51</f>
        <v>94.7</v>
      </c>
      <c r="L51" s="3" t="s">
        <v>19</v>
      </c>
      <c r="M51" s="3">
        <v>94.7</v>
      </c>
      <c r="N51" s="13">
        <f t="shared" si="3"/>
        <v>1</v>
      </c>
      <c r="O51" s="13">
        <f t="shared" si="4"/>
        <v>1</v>
      </c>
    </row>
    <row r="52" spans="1:15" s="2" customFormat="1" ht="33" x14ac:dyDescent="0.25">
      <c r="A52" s="76" t="s">
        <v>226</v>
      </c>
      <c r="B52" s="15" t="s">
        <v>65</v>
      </c>
      <c r="C52" s="78" t="s">
        <v>77</v>
      </c>
      <c r="D52" s="78" t="s">
        <v>40</v>
      </c>
      <c r="E52" s="88">
        <f t="shared" si="23"/>
        <v>107.3</v>
      </c>
      <c r="F52" s="88" t="s">
        <v>19</v>
      </c>
      <c r="G52" s="113">
        <v>107.3</v>
      </c>
      <c r="H52" s="3">
        <f t="shared" si="24"/>
        <v>107.3</v>
      </c>
      <c r="I52" s="3" t="s">
        <v>19</v>
      </c>
      <c r="J52" s="3">
        <v>107.3</v>
      </c>
      <c r="K52" s="3">
        <f t="shared" si="25"/>
        <v>107.3</v>
      </c>
      <c r="L52" s="3" t="s">
        <v>19</v>
      </c>
      <c r="M52" s="3">
        <v>107.3</v>
      </c>
      <c r="N52" s="13">
        <f t="shared" si="3"/>
        <v>1</v>
      </c>
      <c r="O52" s="13">
        <f t="shared" si="4"/>
        <v>1</v>
      </c>
    </row>
    <row r="53" spans="1:15" s="2" customFormat="1" ht="33" x14ac:dyDescent="0.25">
      <c r="A53" s="76" t="s">
        <v>227</v>
      </c>
      <c r="B53" s="15" t="s">
        <v>67</v>
      </c>
      <c r="C53" s="78" t="s">
        <v>77</v>
      </c>
      <c r="D53" s="78" t="s">
        <v>40</v>
      </c>
      <c r="E53" s="88">
        <f t="shared" si="23"/>
        <v>105.4</v>
      </c>
      <c r="F53" s="88" t="s">
        <v>19</v>
      </c>
      <c r="G53" s="113">
        <v>105.4</v>
      </c>
      <c r="H53" s="3">
        <f t="shared" si="24"/>
        <v>60.9</v>
      </c>
      <c r="I53" s="3" t="s">
        <v>19</v>
      </c>
      <c r="J53" s="3">
        <v>60.9</v>
      </c>
      <c r="K53" s="3">
        <f t="shared" si="25"/>
        <v>60.9</v>
      </c>
      <c r="L53" s="3" t="s">
        <v>19</v>
      </c>
      <c r="M53" s="3">
        <v>60.9</v>
      </c>
      <c r="N53" s="13">
        <f t="shared" si="3"/>
        <v>0.57779886148007586</v>
      </c>
      <c r="O53" s="13">
        <f t="shared" si="4"/>
        <v>0.57779886148007586</v>
      </c>
    </row>
    <row r="54" spans="1:15" s="2" customFormat="1" ht="33" x14ac:dyDescent="0.25">
      <c r="A54" s="76" t="s">
        <v>228</v>
      </c>
      <c r="B54" s="15" t="s">
        <v>68</v>
      </c>
      <c r="C54" s="78" t="s">
        <v>77</v>
      </c>
      <c r="D54" s="78" t="s">
        <v>40</v>
      </c>
      <c r="E54" s="88">
        <f t="shared" si="23"/>
        <v>17.399999999999999</v>
      </c>
      <c r="F54" s="88" t="s">
        <v>19</v>
      </c>
      <c r="G54" s="113">
        <v>17.399999999999999</v>
      </c>
      <c r="H54" s="3">
        <f t="shared" si="24"/>
        <v>17.399999999999999</v>
      </c>
      <c r="I54" s="141" t="s">
        <v>19</v>
      </c>
      <c r="J54" s="3">
        <v>17.399999999999999</v>
      </c>
      <c r="K54" s="3">
        <f t="shared" si="25"/>
        <v>17.399999999999999</v>
      </c>
      <c r="L54" s="141" t="s">
        <v>19</v>
      </c>
      <c r="M54" s="3">
        <v>17.399999999999999</v>
      </c>
      <c r="N54" s="13">
        <f t="shared" si="3"/>
        <v>1</v>
      </c>
      <c r="O54" s="13">
        <f t="shared" si="4"/>
        <v>1</v>
      </c>
    </row>
    <row r="55" spans="1:15" s="2" customFormat="1" ht="33" x14ac:dyDescent="0.25">
      <c r="A55" s="76" t="s">
        <v>229</v>
      </c>
      <c r="B55" s="15" t="s">
        <v>69</v>
      </c>
      <c r="C55" s="78" t="s">
        <v>77</v>
      </c>
      <c r="D55" s="78" t="s">
        <v>40</v>
      </c>
      <c r="E55" s="88">
        <f t="shared" si="23"/>
        <v>125.7</v>
      </c>
      <c r="F55" s="88" t="s">
        <v>19</v>
      </c>
      <c r="G55" s="113">
        <v>125.7</v>
      </c>
      <c r="H55" s="3">
        <f t="shared" si="24"/>
        <v>125.7</v>
      </c>
      <c r="I55" s="3" t="s">
        <v>19</v>
      </c>
      <c r="J55" s="3">
        <v>125.7</v>
      </c>
      <c r="K55" s="3">
        <f t="shared" si="25"/>
        <v>125.7</v>
      </c>
      <c r="L55" s="3" t="s">
        <v>19</v>
      </c>
      <c r="M55" s="3">
        <v>125.7</v>
      </c>
      <c r="N55" s="13">
        <f t="shared" si="3"/>
        <v>1</v>
      </c>
      <c r="O55" s="13">
        <f t="shared" si="4"/>
        <v>1</v>
      </c>
    </row>
    <row r="56" spans="1:15" s="2" customFormat="1" ht="33" x14ac:dyDescent="0.25">
      <c r="A56" s="76" t="s">
        <v>230</v>
      </c>
      <c r="B56" s="15" t="s">
        <v>70</v>
      </c>
      <c r="C56" s="78" t="s">
        <v>77</v>
      </c>
      <c r="D56" s="78" t="s">
        <v>40</v>
      </c>
      <c r="E56" s="88">
        <f t="shared" si="23"/>
        <v>139.19999999999999</v>
      </c>
      <c r="F56" s="88" t="s">
        <v>19</v>
      </c>
      <c r="G56" s="113">
        <v>139.19999999999999</v>
      </c>
      <c r="H56" s="3">
        <f t="shared" si="24"/>
        <v>139.19999999999999</v>
      </c>
      <c r="I56" s="3" t="s">
        <v>19</v>
      </c>
      <c r="J56" s="3">
        <v>139.19999999999999</v>
      </c>
      <c r="K56" s="3">
        <f t="shared" si="25"/>
        <v>139.19999999999999</v>
      </c>
      <c r="L56" s="3" t="s">
        <v>19</v>
      </c>
      <c r="M56" s="3">
        <v>139.19999999999999</v>
      </c>
      <c r="N56" s="13">
        <f t="shared" si="3"/>
        <v>1</v>
      </c>
      <c r="O56" s="13">
        <f t="shared" si="4"/>
        <v>1</v>
      </c>
    </row>
    <row r="57" spans="1:15" s="2" customFormat="1" ht="33" x14ac:dyDescent="0.25">
      <c r="A57" s="76" t="s">
        <v>231</v>
      </c>
      <c r="B57" s="15" t="s">
        <v>82</v>
      </c>
      <c r="C57" s="78" t="s">
        <v>77</v>
      </c>
      <c r="D57" s="78" t="s">
        <v>40</v>
      </c>
      <c r="E57" s="88">
        <f t="shared" si="23"/>
        <v>33.299999999999997</v>
      </c>
      <c r="F57" s="88" t="s">
        <v>19</v>
      </c>
      <c r="G57" s="113">
        <v>33.299999999999997</v>
      </c>
      <c r="H57" s="3">
        <f t="shared" si="24"/>
        <v>33.200000000000003</v>
      </c>
      <c r="I57" s="3" t="s">
        <v>19</v>
      </c>
      <c r="J57" s="3">
        <v>33.200000000000003</v>
      </c>
      <c r="K57" s="3">
        <f t="shared" si="25"/>
        <v>33.200000000000003</v>
      </c>
      <c r="L57" s="3" t="s">
        <v>19</v>
      </c>
      <c r="M57" s="3">
        <v>33.200000000000003</v>
      </c>
      <c r="N57" s="13">
        <f t="shared" si="3"/>
        <v>0.99699699699699718</v>
      </c>
      <c r="O57" s="13">
        <f t="shared" si="4"/>
        <v>0.99699699699699718</v>
      </c>
    </row>
    <row r="58" spans="1:15" s="2" customFormat="1" ht="33" x14ac:dyDescent="0.25">
      <c r="A58" s="76" t="s">
        <v>232</v>
      </c>
      <c r="B58" s="15" t="s">
        <v>71</v>
      </c>
      <c r="C58" s="78" t="s">
        <v>77</v>
      </c>
      <c r="D58" s="78" t="s">
        <v>40</v>
      </c>
      <c r="E58" s="88">
        <f t="shared" si="23"/>
        <v>70.099999999999994</v>
      </c>
      <c r="F58" s="88" t="s">
        <v>19</v>
      </c>
      <c r="G58" s="113">
        <v>70.099999999999994</v>
      </c>
      <c r="H58" s="3">
        <f t="shared" si="24"/>
        <v>70.099999999999994</v>
      </c>
      <c r="I58" s="3" t="s">
        <v>19</v>
      </c>
      <c r="J58" s="3">
        <v>70.099999999999994</v>
      </c>
      <c r="K58" s="3">
        <f t="shared" si="25"/>
        <v>70.099999999999994</v>
      </c>
      <c r="L58" s="3" t="s">
        <v>19</v>
      </c>
      <c r="M58" s="3">
        <v>70.099999999999994</v>
      </c>
      <c r="N58" s="13">
        <f t="shared" si="3"/>
        <v>1</v>
      </c>
      <c r="O58" s="13">
        <f t="shared" si="4"/>
        <v>1</v>
      </c>
    </row>
    <row r="59" spans="1:15" s="2" customFormat="1" ht="33" x14ac:dyDescent="0.25">
      <c r="A59" s="76" t="s">
        <v>233</v>
      </c>
      <c r="B59" s="15" t="s">
        <v>104</v>
      </c>
      <c r="C59" s="78" t="s">
        <v>77</v>
      </c>
      <c r="D59" s="78" t="s">
        <v>40</v>
      </c>
      <c r="E59" s="88">
        <f t="shared" si="23"/>
        <v>26.1</v>
      </c>
      <c r="F59" s="88" t="s">
        <v>19</v>
      </c>
      <c r="G59" s="113">
        <v>26.1</v>
      </c>
      <c r="H59" s="3">
        <f>J59</f>
        <v>26.1</v>
      </c>
      <c r="I59" s="3"/>
      <c r="J59" s="3">
        <v>26.1</v>
      </c>
      <c r="K59" s="3">
        <f>M59</f>
        <v>26.1</v>
      </c>
      <c r="L59" s="3" t="s">
        <v>19</v>
      </c>
      <c r="M59" s="3">
        <v>26.1</v>
      </c>
      <c r="N59" s="13">
        <f t="shared" si="3"/>
        <v>1</v>
      </c>
      <c r="O59" s="13">
        <f t="shared" si="4"/>
        <v>1</v>
      </c>
    </row>
    <row r="60" spans="1:15" s="2" customFormat="1" ht="33" x14ac:dyDescent="0.25">
      <c r="A60" s="76" t="s">
        <v>234</v>
      </c>
      <c r="B60" s="30" t="s">
        <v>72</v>
      </c>
      <c r="C60" s="78" t="s">
        <v>77</v>
      </c>
      <c r="D60" s="78" t="s">
        <v>40</v>
      </c>
      <c r="E60" s="88">
        <f t="shared" si="23"/>
        <v>454.3</v>
      </c>
      <c r="F60" s="88" t="s">
        <v>19</v>
      </c>
      <c r="G60" s="113">
        <v>454.3</v>
      </c>
      <c r="H60" s="3">
        <f t="shared" si="24"/>
        <v>454.3</v>
      </c>
      <c r="I60" s="3" t="s">
        <v>19</v>
      </c>
      <c r="J60" s="3">
        <v>454.3</v>
      </c>
      <c r="K60" s="3">
        <f t="shared" si="25"/>
        <v>454.3</v>
      </c>
      <c r="L60" s="3" t="s">
        <v>19</v>
      </c>
      <c r="M60" s="3">
        <v>454.3</v>
      </c>
      <c r="N60" s="13">
        <f t="shared" si="3"/>
        <v>1</v>
      </c>
      <c r="O60" s="13">
        <f t="shared" si="4"/>
        <v>1</v>
      </c>
    </row>
    <row r="61" spans="1:15" s="2" customFormat="1" ht="33" x14ac:dyDescent="0.25">
      <c r="A61" s="76" t="s">
        <v>234</v>
      </c>
      <c r="B61" s="30" t="s">
        <v>75</v>
      </c>
      <c r="C61" s="78" t="s">
        <v>77</v>
      </c>
      <c r="D61" s="78" t="s">
        <v>40</v>
      </c>
      <c r="E61" s="88">
        <f t="shared" si="23"/>
        <v>235.4</v>
      </c>
      <c r="F61" s="88" t="s">
        <v>19</v>
      </c>
      <c r="G61" s="113">
        <v>235.4</v>
      </c>
      <c r="H61" s="3">
        <f t="shared" si="24"/>
        <v>226.58</v>
      </c>
      <c r="I61" s="3" t="s">
        <v>19</v>
      </c>
      <c r="J61" s="3">
        <v>226.58</v>
      </c>
      <c r="K61" s="3">
        <f>M61</f>
        <v>226.58</v>
      </c>
      <c r="L61" s="3" t="s">
        <v>19</v>
      </c>
      <c r="M61" s="3">
        <v>226.58</v>
      </c>
      <c r="N61" s="13">
        <f t="shared" si="3"/>
        <v>0.9625318606627018</v>
      </c>
      <c r="O61" s="13">
        <f t="shared" si="4"/>
        <v>0.9625318606627018</v>
      </c>
    </row>
    <row r="62" spans="1:15" s="2" customFormat="1" ht="56.25" customHeight="1" x14ac:dyDescent="0.25">
      <c r="A62" s="76"/>
      <c r="B62" s="203" t="s">
        <v>105</v>
      </c>
      <c r="C62" s="203"/>
      <c r="D62" s="203"/>
      <c r="E62" s="112">
        <f>SUM(E63:E65)</f>
        <v>5427.3</v>
      </c>
      <c r="F62" s="112">
        <f t="shared" ref="F62:M62" si="26">SUM(F63:F65)</f>
        <v>0</v>
      </c>
      <c r="G62" s="112">
        <f t="shared" si="26"/>
        <v>5427.3</v>
      </c>
      <c r="H62" s="112">
        <f t="shared" si="26"/>
        <v>5427.308</v>
      </c>
      <c r="I62" s="112">
        <f t="shared" si="26"/>
        <v>0</v>
      </c>
      <c r="J62" s="112">
        <f t="shared" si="26"/>
        <v>5427.308</v>
      </c>
      <c r="K62" s="112">
        <f t="shared" si="26"/>
        <v>5427.308</v>
      </c>
      <c r="L62" s="112">
        <f t="shared" si="26"/>
        <v>0</v>
      </c>
      <c r="M62" s="112">
        <f t="shared" si="26"/>
        <v>5427.308</v>
      </c>
      <c r="N62" s="139">
        <f t="shared" si="3"/>
        <v>1.0000014740294436</v>
      </c>
      <c r="O62" s="139">
        <f t="shared" si="4"/>
        <v>1.0000014740294436</v>
      </c>
    </row>
    <row r="63" spans="1:15" s="2" customFormat="1" ht="82.5" x14ac:dyDescent="0.25">
      <c r="A63" s="76" t="s">
        <v>174</v>
      </c>
      <c r="B63" s="77" t="s">
        <v>106</v>
      </c>
      <c r="C63" s="78" t="s">
        <v>382</v>
      </c>
      <c r="D63" s="78" t="s">
        <v>40</v>
      </c>
      <c r="E63" s="88">
        <f t="shared" ref="E63:E67" si="27">G63</f>
        <v>3744.5</v>
      </c>
      <c r="F63" s="88" t="s">
        <v>19</v>
      </c>
      <c r="G63" s="113">
        <v>3744.5</v>
      </c>
      <c r="H63" s="3">
        <f t="shared" ref="H63:H65" si="28">J63</f>
        <v>3744.47</v>
      </c>
      <c r="I63" s="3" t="s">
        <v>19</v>
      </c>
      <c r="J63" s="3">
        <v>3744.47</v>
      </c>
      <c r="K63" s="3">
        <f t="shared" ref="K63:K65" si="29">M63</f>
        <v>3744.47</v>
      </c>
      <c r="L63" s="3" t="s">
        <v>19</v>
      </c>
      <c r="M63" s="3">
        <v>3744.47</v>
      </c>
      <c r="N63" s="13">
        <f t="shared" si="3"/>
        <v>0.99999198824943247</v>
      </c>
      <c r="O63" s="13">
        <f t="shared" si="4"/>
        <v>0.99999198824943247</v>
      </c>
    </row>
    <row r="64" spans="1:15" s="2" customFormat="1" ht="49.5" x14ac:dyDescent="0.25">
      <c r="A64" s="76" t="s">
        <v>385</v>
      </c>
      <c r="B64" s="91" t="s">
        <v>383</v>
      </c>
      <c r="C64" s="78" t="s">
        <v>39</v>
      </c>
      <c r="D64" s="78" t="s">
        <v>40</v>
      </c>
      <c r="E64" s="88">
        <f t="shared" si="27"/>
        <v>99.1</v>
      </c>
      <c r="F64" s="88" t="s">
        <v>19</v>
      </c>
      <c r="G64" s="113">
        <v>99.1</v>
      </c>
      <c r="H64" s="3">
        <f t="shared" si="28"/>
        <v>99.138000000000005</v>
      </c>
      <c r="I64" s="3" t="s">
        <v>19</v>
      </c>
      <c r="J64" s="3">
        <v>99.138000000000005</v>
      </c>
      <c r="K64" s="3">
        <f t="shared" si="29"/>
        <v>99.138000000000005</v>
      </c>
      <c r="L64" s="3" t="s">
        <v>19</v>
      </c>
      <c r="M64" s="3">
        <v>99.138000000000005</v>
      </c>
      <c r="N64" s="13">
        <f t="shared" si="3"/>
        <v>1.000383451059536</v>
      </c>
      <c r="O64" s="13">
        <f t="shared" si="4"/>
        <v>1.000383451059536</v>
      </c>
    </row>
    <row r="65" spans="1:15" s="2" customFormat="1" ht="66" x14ac:dyDescent="0.25">
      <c r="A65" s="76" t="s">
        <v>386</v>
      </c>
      <c r="B65" s="92" t="s">
        <v>384</v>
      </c>
      <c r="C65" s="78" t="s">
        <v>39</v>
      </c>
      <c r="D65" s="78" t="s">
        <v>40</v>
      </c>
      <c r="E65" s="88">
        <f t="shared" si="27"/>
        <v>1583.7</v>
      </c>
      <c r="F65" s="88" t="s">
        <v>19</v>
      </c>
      <c r="G65" s="113">
        <v>1583.7</v>
      </c>
      <c r="H65" s="3">
        <f t="shared" si="28"/>
        <v>1583.7</v>
      </c>
      <c r="I65" s="3" t="s">
        <v>19</v>
      </c>
      <c r="J65" s="3">
        <v>1583.7</v>
      </c>
      <c r="K65" s="3">
        <f t="shared" si="29"/>
        <v>1583.7</v>
      </c>
      <c r="L65" s="3" t="s">
        <v>19</v>
      </c>
      <c r="M65" s="3">
        <v>1583.7</v>
      </c>
      <c r="N65" s="13">
        <f t="shared" si="3"/>
        <v>1</v>
      </c>
      <c r="O65" s="13">
        <f t="shared" si="4"/>
        <v>1</v>
      </c>
    </row>
    <row r="66" spans="1:15" s="2" customFormat="1" ht="56.25" customHeight="1" x14ac:dyDescent="0.25">
      <c r="A66" s="76"/>
      <c r="B66" s="203" t="s">
        <v>107</v>
      </c>
      <c r="C66" s="203"/>
      <c r="D66" s="203"/>
      <c r="E66" s="112">
        <f>SUM(E67:E70)</f>
        <v>150</v>
      </c>
      <c r="F66" s="112">
        <f t="shared" ref="F66:M66" si="30">SUM(F67:F70)</f>
        <v>0</v>
      </c>
      <c r="G66" s="112">
        <f t="shared" si="30"/>
        <v>150</v>
      </c>
      <c r="H66" s="112">
        <f t="shared" si="30"/>
        <v>121.69999999999999</v>
      </c>
      <c r="I66" s="112">
        <f t="shared" si="30"/>
        <v>0</v>
      </c>
      <c r="J66" s="112">
        <f t="shared" si="30"/>
        <v>121.69999999999999</v>
      </c>
      <c r="K66" s="112">
        <f t="shared" si="30"/>
        <v>121.69999999999999</v>
      </c>
      <c r="L66" s="112">
        <f t="shared" si="30"/>
        <v>0</v>
      </c>
      <c r="M66" s="112">
        <f t="shared" si="30"/>
        <v>121.69999999999999</v>
      </c>
      <c r="N66" s="139">
        <f t="shared" si="3"/>
        <v>0.81133333333333324</v>
      </c>
      <c r="O66" s="139">
        <f t="shared" si="4"/>
        <v>0.81133333333333324</v>
      </c>
    </row>
    <row r="67" spans="1:15" s="2" customFormat="1" ht="33" x14ac:dyDescent="0.25">
      <c r="A67" s="76" t="s">
        <v>175</v>
      </c>
      <c r="B67" s="85" t="s">
        <v>82</v>
      </c>
      <c r="C67" s="78" t="s">
        <v>77</v>
      </c>
      <c r="D67" s="78" t="s">
        <v>40</v>
      </c>
      <c r="E67" s="88">
        <f t="shared" si="27"/>
        <v>63.6</v>
      </c>
      <c r="F67" s="88" t="s">
        <v>19</v>
      </c>
      <c r="G67" s="113">
        <v>63.6</v>
      </c>
      <c r="H67" s="3">
        <f>J67</f>
        <v>63.6</v>
      </c>
      <c r="I67" s="3" t="s">
        <v>19</v>
      </c>
      <c r="J67" s="3">
        <v>63.6</v>
      </c>
      <c r="K67" s="3">
        <f>M67</f>
        <v>63.6</v>
      </c>
      <c r="L67" s="3" t="s">
        <v>19</v>
      </c>
      <c r="M67" s="3">
        <v>63.6</v>
      </c>
      <c r="N67" s="13">
        <f t="shared" si="3"/>
        <v>1</v>
      </c>
      <c r="O67" s="13">
        <f t="shared" si="4"/>
        <v>1</v>
      </c>
    </row>
    <row r="68" spans="1:15" s="2" customFormat="1" ht="33" x14ac:dyDescent="0.25">
      <c r="A68" s="76" t="s">
        <v>176</v>
      </c>
      <c r="B68" s="85" t="s">
        <v>71</v>
      </c>
      <c r="C68" s="78" t="s">
        <v>77</v>
      </c>
      <c r="D68" s="78" t="s">
        <v>40</v>
      </c>
      <c r="E68" s="88">
        <f t="shared" ref="E68:E70" si="31">G68</f>
        <v>28.3</v>
      </c>
      <c r="F68" s="88" t="s">
        <v>19</v>
      </c>
      <c r="G68" s="113">
        <v>28.3</v>
      </c>
      <c r="H68" s="3">
        <f t="shared" ref="H68:H70" si="32">J68</f>
        <v>0</v>
      </c>
      <c r="I68" s="3" t="s">
        <v>19</v>
      </c>
      <c r="J68" s="3">
        <v>0</v>
      </c>
      <c r="K68" s="3">
        <f>M68</f>
        <v>0</v>
      </c>
      <c r="L68" s="3" t="s">
        <v>19</v>
      </c>
      <c r="M68" s="3">
        <v>0</v>
      </c>
      <c r="N68" s="13">
        <f t="shared" si="3"/>
        <v>0</v>
      </c>
      <c r="O68" s="13">
        <f t="shared" si="4"/>
        <v>0</v>
      </c>
    </row>
    <row r="69" spans="1:15" s="2" customFormat="1" ht="33" x14ac:dyDescent="0.25">
      <c r="A69" s="76" t="s">
        <v>177</v>
      </c>
      <c r="B69" s="85" t="s">
        <v>72</v>
      </c>
      <c r="C69" s="78" t="s">
        <v>77</v>
      </c>
      <c r="D69" s="78" t="s">
        <v>40</v>
      </c>
      <c r="E69" s="88">
        <f t="shared" si="31"/>
        <v>17</v>
      </c>
      <c r="F69" s="88" t="s">
        <v>19</v>
      </c>
      <c r="G69" s="113">
        <v>17</v>
      </c>
      <c r="H69" s="3">
        <f t="shared" si="32"/>
        <v>17</v>
      </c>
      <c r="I69" s="3" t="s">
        <v>19</v>
      </c>
      <c r="J69" s="3">
        <v>17</v>
      </c>
      <c r="K69" s="3">
        <f t="shared" ref="K69:K70" si="33">M69</f>
        <v>17</v>
      </c>
      <c r="L69" s="3" t="s">
        <v>19</v>
      </c>
      <c r="M69" s="3">
        <v>17</v>
      </c>
      <c r="N69" s="13">
        <f t="shared" si="3"/>
        <v>1</v>
      </c>
      <c r="O69" s="13">
        <f t="shared" si="4"/>
        <v>1</v>
      </c>
    </row>
    <row r="70" spans="1:15" s="2" customFormat="1" ht="33" x14ac:dyDescent="0.25">
      <c r="A70" s="76" t="s">
        <v>235</v>
      </c>
      <c r="B70" s="85" t="s">
        <v>70</v>
      </c>
      <c r="C70" s="78" t="s">
        <v>77</v>
      </c>
      <c r="D70" s="78" t="s">
        <v>40</v>
      </c>
      <c r="E70" s="88">
        <f t="shared" si="31"/>
        <v>41.1</v>
      </c>
      <c r="F70" s="88" t="s">
        <v>19</v>
      </c>
      <c r="G70" s="113">
        <v>41.1</v>
      </c>
      <c r="H70" s="3">
        <f t="shared" si="32"/>
        <v>41.1</v>
      </c>
      <c r="I70" s="3" t="s">
        <v>19</v>
      </c>
      <c r="J70" s="3">
        <v>41.1</v>
      </c>
      <c r="K70" s="3">
        <f t="shared" si="33"/>
        <v>41.1</v>
      </c>
      <c r="L70" s="3" t="s">
        <v>19</v>
      </c>
      <c r="M70" s="3">
        <v>41.1</v>
      </c>
      <c r="N70" s="13">
        <f t="shared" si="3"/>
        <v>1</v>
      </c>
      <c r="O70" s="13">
        <f t="shared" si="4"/>
        <v>1</v>
      </c>
    </row>
    <row r="71" spans="1:15" s="2" customFormat="1" x14ac:dyDescent="0.25">
      <c r="A71" s="76"/>
      <c r="B71" s="204" t="s">
        <v>292</v>
      </c>
      <c r="C71" s="204"/>
      <c r="D71" s="205"/>
      <c r="E71" s="112">
        <f>E72</f>
        <v>6240.3</v>
      </c>
      <c r="F71" s="112">
        <f t="shared" ref="F71:M71" si="34">F72</f>
        <v>6177.8</v>
      </c>
      <c r="G71" s="112">
        <f t="shared" si="34"/>
        <v>62.5</v>
      </c>
      <c r="H71" s="112">
        <f t="shared" si="34"/>
        <v>6240.21</v>
      </c>
      <c r="I71" s="112">
        <f t="shared" si="34"/>
        <v>6177.8</v>
      </c>
      <c r="J71" s="112">
        <f t="shared" si="34"/>
        <v>62.41</v>
      </c>
      <c r="K71" s="112">
        <f t="shared" si="34"/>
        <v>6240.2</v>
      </c>
      <c r="L71" s="112">
        <f t="shared" si="34"/>
        <v>6177.8</v>
      </c>
      <c r="M71" s="112">
        <f t="shared" si="34"/>
        <v>62.4</v>
      </c>
      <c r="N71" s="139">
        <f t="shared" si="3"/>
        <v>0.99998557761646067</v>
      </c>
      <c r="O71" s="139">
        <f t="shared" si="4"/>
        <v>0.99998397512940074</v>
      </c>
    </row>
    <row r="72" spans="1:15" s="2" customFormat="1" ht="49.5" x14ac:dyDescent="0.25">
      <c r="A72" s="76" t="s">
        <v>294</v>
      </c>
      <c r="B72" s="86" t="s">
        <v>293</v>
      </c>
      <c r="C72" s="78" t="s">
        <v>39</v>
      </c>
      <c r="D72" s="78" t="s">
        <v>144</v>
      </c>
      <c r="E72" s="88">
        <f>F72+G72</f>
        <v>6240.3</v>
      </c>
      <c r="F72" s="114">
        <v>6177.8</v>
      </c>
      <c r="G72" s="114">
        <v>62.5</v>
      </c>
      <c r="H72" s="88">
        <f>I72+J72</f>
        <v>6240.21</v>
      </c>
      <c r="I72" s="114">
        <v>6177.8</v>
      </c>
      <c r="J72" s="114">
        <v>62.41</v>
      </c>
      <c r="K72" s="88">
        <f>L72+M72</f>
        <v>6240.2</v>
      </c>
      <c r="L72" s="114">
        <v>6177.8</v>
      </c>
      <c r="M72" s="114">
        <v>62.4</v>
      </c>
      <c r="N72" s="13">
        <f t="shared" si="3"/>
        <v>0.99998557761646067</v>
      </c>
      <c r="O72" s="13">
        <f t="shared" si="4"/>
        <v>0.99998397512940074</v>
      </c>
    </row>
    <row r="73" spans="1:15" s="2" customFormat="1" x14ac:dyDescent="0.25">
      <c r="A73" s="83"/>
      <c r="B73" s="87" t="s">
        <v>2</v>
      </c>
      <c r="C73" s="87"/>
      <c r="D73" s="88"/>
      <c r="E73" s="112">
        <f>E6+E20+E24+E41+E62+E66+E71</f>
        <v>51234.890000000014</v>
      </c>
      <c r="F73" s="112">
        <f>F6+F20+F24+F41+F62+F66+F71</f>
        <v>6177.8</v>
      </c>
      <c r="G73" s="112">
        <f>G6+G20+G24+G41+G62+G66+G71</f>
        <v>45057.090000000011</v>
      </c>
      <c r="H73" s="112">
        <f t="shared" ref="H73:M73" si="35">H6+H20+H24+H41+H62+H66+H71</f>
        <v>44984.641299999996</v>
      </c>
      <c r="I73" s="112">
        <f t="shared" si="35"/>
        <v>6177.8</v>
      </c>
      <c r="J73" s="112">
        <f t="shared" si="35"/>
        <v>38806.8413</v>
      </c>
      <c r="K73" s="112">
        <f t="shared" si="35"/>
        <v>44984.641299999988</v>
      </c>
      <c r="L73" s="112">
        <f t="shared" si="35"/>
        <v>6177.8</v>
      </c>
      <c r="M73" s="112">
        <f t="shared" si="35"/>
        <v>38806.841299999993</v>
      </c>
      <c r="N73" s="139">
        <f>H73/E73</f>
        <v>0.87800796098127631</v>
      </c>
      <c r="O73" s="139">
        <f t="shared" ref="O73" si="36">K73/E73</f>
        <v>0.8780079609812762</v>
      </c>
    </row>
    <row r="100" ht="30.75" customHeight="1" x14ac:dyDescent="0.25"/>
    <row r="102" ht="18.75" customHeight="1" x14ac:dyDescent="0.25"/>
    <row r="103" ht="18.75" customHeight="1" x14ac:dyDescent="0.25"/>
    <row r="106" ht="18.75" customHeight="1" x14ac:dyDescent="0.25"/>
    <row r="108" ht="18.75" customHeight="1" x14ac:dyDescent="0.25"/>
    <row r="109" ht="18.75" customHeight="1" x14ac:dyDescent="0.25"/>
  </sheetData>
  <mergeCells count="20">
    <mergeCell ref="A1:O1"/>
    <mergeCell ref="A2:O2"/>
    <mergeCell ref="A3:A4"/>
    <mergeCell ref="B3:B4"/>
    <mergeCell ref="C3:C4"/>
    <mergeCell ref="D3:D4"/>
    <mergeCell ref="K3:M3"/>
    <mergeCell ref="N3:N4"/>
    <mergeCell ref="O3:O4"/>
    <mergeCell ref="B6:D6"/>
    <mergeCell ref="B20:D20"/>
    <mergeCell ref="E3:G3"/>
    <mergeCell ref="H3:J3"/>
    <mergeCell ref="B71:D71"/>
    <mergeCell ref="B66:D66"/>
    <mergeCell ref="B24:D24"/>
    <mergeCell ref="B41:D41"/>
    <mergeCell ref="B42:D42"/>
    <mergeCell ref="B49:D49"/>
    <mergeCell ref="B62:D62"/>
  </mergeCells>
  <pageMargins left="0.39370078740157483" right="0.39370078740157483" top="0.39370078740157483" bottom="0.39370078740157483" header="0.31496062992125984" footer="0.31496062992125984"/>
  <pageSetup paperSize="9" scale="4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7"/>
  <sheetViews>
    <sheetView view="pageBreakPreview" topLeftCell="A9" zoomScale="90" zoomScaleNormal="100" zoomScaleSheetLayoutView="90" workbookViewId="0">
      <selection activeCell="I20" sqref="I20"/>
    </sheetView>
  </sheetViews>
  <sheetFormatPr defaultRowHeight="15.75" x14ac:dyDescent="0.25"/>
  <cols>
    <col min="1" max="1" width="6.5703125" style="31" customWidth="1"/>
    <col min="2" max="2" width="35.28515625" style="31" customWidth="1"/>
    <col min="3" max="3" width="14" style="31" hidden="1" customWidth="1"/>
    <col min="4" max="4" width="11.42578125" style="31" hidden="1" customWidth="1"/>
    <col min="5" max="5" width="26.7109375" style="31" customWidth="1"/>
    <col min="6" max="7" width="20.85546875" style="31" customWidth="1"/>
    <col min="8" max="8" width="19.5703125" style="31" customWidth="1"/>
    <col min="9" max="10" width="14.7109375" style="31" customWidth="1"/>
    <col min="11" max="12" width="14.140625" style="31" customWidth="1"/>
    <col min="13" max="13" width="15.140625" style="31" customWidth="1"/>
    <col min="14" max="254" width="9.140625" style="31"/>
    <col min="255" max="255" width="6.5703125" style="31" customWidth="1"/>
    <col min="256" max="256" width="35.28515625" style="31" customWidth="1"/>
    <col min="257" max="257" width="14" style="31" customWidth="1"/>
    <col min="258" max="258" width="11.42578125" style="31" customWidth="1"/>
    <col min="259" max="259" width="21.7109375" style="31" customWidth="1"/>
    <col min="260" max="260" width="13.7109375" style="31" customWidth="1"/>
    <col min="261" max="261" width="14.85546875" style="31" customWidth="1"/>
    <col min="262" max="262" width="19.5703125" style="31" customWidth="1"/>
    <col min="263" max="263" width="13.7109375" style="31" customWidth="1"/>
    <col min="264" max="264" width="14.7109375" style="31" customWidth="1"/>
    <col min="265" max="266" width="14.140625" style="31" customWidth="1"/>
    <col min="267" max="267" width="15.140625" style="31" customWidth="1"/>
    <col min="268" max="268" width="21.5703125" style="31" customWidth="1"/>
    <col min="269" max="510" width="9.140625" style="31"/>
    <col min="511" max="511" width="6.5703125" style="31" customWidth="1"/>
    <col min="512" max="512" width="35.28515625" style="31" customWidth="1"/>
    <col min="513" max="513" width="14" style="31" customWidth="1"/>
    <col min="514" max="514" width="11.42578125" style="31" customWidth="1"/>
    <col min="515" max="515" width="21.7109375" style="31" customWidth="1"/>
    <col min="516" max="516" width="13.7109375" style="31" customWidth="1"/>
    <col min="517" max="517" width="14.85546875" style="31" customWidth="1"/>
    <col min="518" max="518" width="19.5703125" style="31" customWidth="1"/>
    <col min="519" max="519" width="13.7109375" style="31" customWidth="1"/>
    <col min="520" max="520" width="14.7109375" style="31" customWidth="1"/>
    <col min="521" max="522" width="14.140625" style="31" customWidth="1"/>
    <col min="523" max="523" width="15.140625" style="31" customWidth="1"/>
    <col min="524" max="524" width="21.5703125" style="31" customWidth="1"/>
    <col min="525" max="766" width="9.140625" style="31"/>
    <col min="767" max="767" width="6.5703125" style="31" customWidth="1"/>
    <col min="768" max="768" width="35.28515625" style="31" customWidth="1"/>
    <col min="769" max="769" width="14" style="31" customWidth="1"/>
    <col min="770" max="770" width="11.42578125" style="31" customWidth="1"/>
    <col min="771" max="771" width="21.7109375" style="31" customWidth="1"/>
    <col min="772" max="772" width="13.7109375" style="31" customWidth="1"/>
    <col min="773" max="773" width="14.85546875" style="31" customWidth="1"/>
    <col min="774" max="774" width="19.5703125" style="31" customWidth="1"/>
    <col min="775" max="775" width="13.7109375" style="31" customWidth="1"/>
    <col min="776" max="776" width="14.7109375" style="31" customWidth="1"/>
    <col min="777" max="778" width="14.140625" style="31" customWidth="1"/>
    <col min="779" max="779" width="15.140625" style="31" customWidth="1"/>
    <col min="780" max="780" width="21.5703125" style="31" customWidth="1"/>
    <col min="781" max="1022" width="9.140625" style="31"/>
    <col min="1023" max="1023" width="6.5703125" style="31" customWidth="1"/>
    <col min="1024" max="1024" width="35.28515625" style="31" customWidth="1"/>
    <col min="1025" max="1025" width="14" style="31" customWidth="1"/>
    <col min="1026" max="1026" width="11.42578125" style="31" customWidth="1"/>
    <col min="1027" max="1027" width="21.7109375" style="31" customWidth="1"/>
    <col min="1028" max="1028" width="13.7109375" style="31" customWidth="1"/>
    <col min="1029" max="1029" width="14.85546875" style="31" customWidth="1"/>
    <col min="1030" max="1030" width="19.5703125" style="31" customWidth="1"/>
    <col min="1031" max="1031" width="13.7109375" style="31" customWidth="1"/>
    <col min="1032" max="1032" width="14.7109375" style="31" customWidth="1"/>
    <col min="1033" max="1034" width="14.140625" style="31" customWidth="1"/>
    <col min="1035" max="1035" width="15.140625" style="31" customWidth="1"/>
    <col min="1036" max="1036" width="21.5703125" style="31" customWidth="1"/>
    <col min="1037" max="1278" width="9.140625" style="31"/>
    <col min="1279" max="1279" width="6.5703125" style="31" customWidth="1"/>
    <col min="1280" max="1280" width="35.28515625" style="31" customWidth="1"/>
    <col min="1281" max="1281" width="14" style="31" customWidth="1"/>
    <col min="1282" max="1282" width="11.42578125" style="31" customWidth="1"/>
    <col min="1283" max="1283" width="21.7109375" style="31" customWidth="1"/>
    <col min="1284" max="1284" width="13.7109375" style="31" customWidth="1"/>
    <col min="1285" max="1285" width="14.85546875" style="31" customWidth="1"/>
    <col min="1286" max="1286" width="19.5703125" style="31" customWidth="1"/>
    <col min="1287" max="1287" width="13.7109375" style="31" customWidth="1"/>
    <col min="1288" max="1288" width="14.7109375" style="31" customWidth="1"/>
    <col min="1289" max="1290" width="14.140625" style="31" customWidth="1"/>
    <col min="1291" max="1291" width="15.140625" style="31" customWidth="1"/>
    <col min="1292" max="1292" width="21.5703125" style="31" customWidth="1"/>
    <col min="1293" max="1534" width="9.140625" style="31"/>
    <col min="1535" max="1535" width="6.5703125" style="31" customWidth="1"/>
    <col min="1536" max="1536" width="35.28515625" style="31" customWidth="1"/>
    <col min="1537" max="1537" width="14" style="31" customWidth="1"/>
    <col min="1538" max="1538" width="11.42578125" style="31" customWidth="1"/>
    <col min="1539" max="1539" width="21.7109375" style="31" customWidth="1"/>
    <col min="1540" max="1540" width="13.7109375" style="31" customWidth="1"/>
    <col min="1541" max="1541" width="14.85546875" style="31" customWidth="1"/>
    <col min="1542" max="1542" width="19.5703125" style="31" customWidth="1"/>
    <col min="1543" max="1543" width="13.7109375" style="31" customWidth="1"/>
    <col min="1544" max="1544" width="14.7109375" style="31" customWidth="1"/>
    <col min="1545" max="1546" width="14.140625" style="31" customWidth="1"/>
    <col min="1547" max="1547" width="15.140625" style="31" customWidth="1"/>
    <col min="1548" max="1548" width="21.5703125" style="31" customWidth="1"/>
    <col min="1549" max="1790" width="9.140625" style="31"/>
    <col min="1791" max="1791" width="6.5703125" style="31" customWidth="1"/>
    <col min="1792" max="1792" width="35.28515625" style="31" customWidth="1"/>
    <col min="1793" max="1793" width="14" style="31" customWidth="1"/>
    <col min="1794" max="1794" width="11.42578125" style="31" customWidth="1"/>
    <col min="1795" max="1795" width="21.7109375" style="31" customWidth="1"/>
    <col min="1796" max="1796" width="13.7109375" style="31" customWidth="1"/>
    <col min="1797" max="1797" width="14.85546875" style="31" customWidth="1"/>
    <col min="1798" max="1798" width="19.5703125" style="31" customWidth="1"/>
    <col min="1799" max="1799" width="13.7109375" style="31" customWidth="1"/>
    <col min="1800" max="1800" width="14.7109375" style="31" customWidth="1"/>
    <col min="1801" max="1802" width="14.140625" style="31" customWidth="1"/>
    <col min="1803" max="1803" width="15.140625" style="31" customWidth="1"/>
    <col min="1804" max="1804" width="21.5703125" style="31" customWidth="1"/>
    <col min="1805" max="2046" width="9.140625" style="31"/>
    <col min="2047" max="2047" width="6.5703125" style="31" customWidth="1"/>
    <col min="2048" max="2048" width="35.28515625" style="31" customWidth="1"/>
    <col min="2049" max="2049" width="14" style="31" customWidth="1"/>
    <col min="2050" max="2050" width="11.42578125" style="31" customWidth="1"/>
    <col min="2051" max="2051" width="21.7109375" style="31" customWidth="1"/>
    <col min="2052" max="2052" width="13.7109375" style="31" customWidth="1"/>
    <col min="2053" max="2053" width="14.85546875" style="31" customWidth="1"/>
    <col min="2054" max="2054" width="19.5703125" style="31" customWidth="1"/>
    <col min="2055" max="2055" width="13.7109375" style="31" customWidth="1"/>
    <col min="2056" max="2056" width="14.7109375" style="31" customWidth="1"/>
    <col min="2057" max="2058" width="14.140625" style="31" customWidth="1"/>
    <col min="2059" max="2059" width="15.140625" style="31" customWidth="1"/>
    <col min="2060" max="2060" width="21.5703125" style="31" customWidth="1"/>
    <col min="2061" max="2302" width="9.140625" style="31"/>
    <col min="2303" max="2303" width="6.5703125" style="31" customWidth="1"/>
    <col min="2304" max="2304" width="35.28515625" style="31" customWidth="1"/>
    <col min="2305" max="2305" width="14" style="31" customWidth="1"/>
    <col min="2306" max="2306" width="11.42578125" style="31" customWidth="1"/>
    <col min="2307" max="2307" width="21.7109375" style="31" customWidth="1"/>
    <col min="2308" max="2308" width="13.7109375" style="31" customWidth="1"/>
    <col min="2309" max="2309" width="14.85546875" style="31" customWidth="1"/>
    <col min="2310" max="2310" width="19.5703125" style="31" customWidth="1"/>
    <col min="2311" max="2311" width="13.7109375" style="31" customWidth="1"/>
    <col min="2312" max="2312" width="14.7109375" style="31" customWidth="1"/>
    <col min="2313" max="2314" width="14.140625" style="31" customWidth="1"/>
    <col min="2315" max="2315" width="15.140625" style="31" customWidth="1"/>
    <col min="2316" max="2316" width="21.5703125" style="31" customWidth="1"/>
    <col min="2317" max="2558" width="9.140625" style="31"/>
    <col min="2559" max="2559" width="6.5703125" style="31" customWidth="1"/>
    <col min="2560" max="2560" width="35.28515625" style="31" customWidth="1"/>
    <col min="2561" max="2561" width="14" style="31" customWidth="1"/>
    <col min="2562" max="2562" width="11.42578125" style="31" customWidth="1"/>
    <col min="2563" max="2563" width="21.7109375" style="31" customWidth="1"/>
    <col min="2564" max="2564" width="13.7109375" style="31" customWidth="1"/>
    <col min="2565" max="2565" width="14.85546875" style="31" customWidth="1"/>
    <col min="2566" max="2566" width="19.5703125" style="31" customWidth="1"/>
    <col min="2567" max="2567" width="13.7109375" style="31" customWidth="1"/>
    <col min="2568" max="2568" width="14.7109375" style="31" customWidth="1"/>
    <col min="2569" max="2570" width="14.140625" style="31" customWidth="1"/>
    <col min="2571" max="2571" width="15.140625" style="31" customWidth="1"/>
    <col min="2572" max="2572" width="21.5703125" style="31" customWidth="1"/>
    <col min="2573" max="2814" width="9.140625" style="31"/>
    <col min="2815" max="2815" width="6.5703125" style="31" customWidth="1"/>
    <col min="2816" max="2816" width="35.28515625" style="31" customWidth="1"/>
    <col min="2817" max="2817" width="14" style="31" customWidth="1"/>
    <col min="2818" max="2818" width="11.42578125" style="31" customWidth="1"/>
    <col min="2819" max="2819" width="21.7109375" style="31" customWidth="1"/>
    <col min="2820" max="2820" width="13.7109375" style="31" customWidth="1"/>
    <col min="2821" max="2821" width="14.85546875" style="31" customWidth="1"/>
    <col min="2822" max="2822" width="19.5703125" style="31" customWidth="1"/>
    <col min="2823" max="2823" width="13.7109375" style="31" customWidth="1"/>
    <col min="2824" max="2824" width="14.7109375" style="31" customWidth="1"/>
    <col min="2825" max="2826" width="14.140625" style="31" customWidth="1"/>
    <col min="2827" max="2827" width="15.140625" style="31" customWidth="1"/>
    <col min="2828" max="2828" width="21.5703125" style="31" customWidth="1"/>
    <col min="2829" max="3070" width="9.140625" style="31"/>
    <col min="3071" max="3071" width="6.5703125" style="31" customWidth="1"/>
    <col min="3072" max="3072" width="35.28515625" style="31" customWidth="1"/>
    <col min="3073" max="3073" width="14" style="31" customWidth="1"/>
    <col min="3074" max="3074" width="11.42578125" style="31" customWidth="1"/>
    <col min="3075" max="3075" width="21.7109375" style="31" customWidth="1"/>
    <col min="3076" max="3076" width="13.7109375" style="31" customWidth="1"/>
    <col min="3077" max="3077" width="14.85546875" style="31" customWidth="1"/>
    <col min="3078" max="3078" width="19.5703125" style="31" customWidth="1"/>
    <col min="3079" max="3079" width="13.7109375" style="31" customWidth="1"/>
    <col min="3080" max="3080" width="14.7109375" style="31" customWidth="1"/>
    <col min="3081" max="3082" width="14.140625" style="31" customWidth="1"/>
    <col min="3083" max="3083" width="15.140625" style="31" customWidth="1"/>
    <col min="3084" max="3084" width="21.5703125" style="31" customWidth="1"/>
    <col min="3085" max="3326" width="9.140625" style="31"/>
    <col min="3327" max="3327" width="6.5703125" style="31" customWidth="1"/>
    <col min="3328" max="3328" width="35.28515625" style="31" customWidth="1"/>
    <col min="3329" max="3329" width="14" style="31" customWidth="1"/>
    <col min="3330" max="3330" width="11.42578125" style="31" customWidth="1"/>
    <col min="3331" max="3331" width="21.7109375" style="31" customWidth="1"/>
    <col min="3332" max="3332" width="13.7109375" style="31" customWidth="1"/>
    <col min="3333" max="3333" width="14.85546875" style="31" customWidth="1"/>
    <col min="3334" max="3334" width="19.5703125" style="31" customWidth="1"/>
    <col min="3335" max="3335" width="13.7109375" style="31" customWidth="1"/>
    <col min="3336" max="3336" width="14.7109375" style="31" customWidth="1"/>
    <col min="3337" max="3338" width="14.140625" style="31" customWidth="1"/>
    <col min="3339" max="3339" width="15.140625" style="31" customWidth="1"/>
    <col min="3340" max="3340" width="21.5703125" style="31" customWidth="1"/>
    <col min="3341" max="3582" width="9.140625" style="31"/>
    <col min="3583" max="3583" width="6.5703125" style="31" customWidth="1"/>
    <col min="3584" max="3584" width="35.28515625" style="31" customWidth="1"/>
    <col min="3585" max="3585" width="14" style="31" customWidth="1"/>
    <col min="3586" max="3586" width="11.42578125" style="31" customWidth="1"/>
    <col min="3587" max="3587" width="21.7109375" style="31" customWidth="1"/>
    <col min="3588" max="3588" width="13.7109375" style="31" customWidth="1"/>
    <col min="3589" max="3589" width="14.85546875" style="31" customWidth="1"/>
    <col min="3590" max="3590" width="19.5703125" style="31" customWidth="1"/>
    <col min="3591" max="3591" width="13.7109375" style="31" customWidth="1"/>
    <col min="3592" max="3592" width="14.7109375" style="31" customWidth="1"/>
    <col min="3593" max="3594" width="14.140625" style="31" customWidth="1"/>
    <col min="3595" max="3595" width="15.140625" style="31" customWidth="1"/>
    <col min="3596" max="3596" width="21.5703125" style="31" customWidth="1"/>
    <col min="3597" max="3838" width="9.140625" style="31"/>
    <col min="3839" max="3839" width="6.5703125" style="31" customWidth="1"/>
    <col min="3840" max="3840" width="35.28515625" style="31" customWidth="1"/>
    <col min="3841" max="3841" width="14" style="31" customWidth="1"/>
    <col min="3842" max="3842" width="11.42578125" style="31" customWidth="1"/>
    <col min="3843" max="3843" width="21.7109375" style="31" customWidth="1"/>
    <col min="3844" max="3844" width="13.7109375" style="31" customWidth="1"/>
    <col min="3845" max="3845" width="14.85546875" style="31" customWidth="1"/>
    <col min="3846" max="3846" width="19.5703125" style="31" customWidth="1"/>
    <col min="3847" max="3847" width="13.7109375" style="31" customWidth="1"/>
    <col min="3848" max="3848" width="14.7109375" style="31" customWidth="1"/>
    <col min="3849" max="3850" width="14.140625" style="31" customWidth="1"/>
    <col min="3851" max="3851" width="15.140625" style="31" customWidth="1"/>
    <col min="3852" max="3852" width="21.5703125" style="31" customWidth="1"/>
    <col min="3853" max="4094" width="9.140625" style="31"/>
    <col min="4095" max="4095" width="6.5703125" style="31" customWidth="1"/>
    <col min="4096" max="4096" width="35.28515625" style="31" customWidth="1"/>
    <col min="4097" max="4097" width="14" style="31" customWidth="1"/>
    <col min="4098" max="4098" width="11.42578125" style="31" customWidth="1"/>
    <col min="4099" max="4099" width="21.7109375" style="31" customWidth="1"/>
    <col min="4100" max="4100" width="13.7109375" style="31" customWidth="1"/>
    <col min="4101" max="4101" width="14.85546875" style="31" customWidth="1"/>
    <col min="4102" max="4102" width="19.5703125" style="31" customWidth="1"/>
    <col min="4103" max="4103" width="13.7109375" style="31" customWidth="1"/>
    <col min="4104" max="4104" width="14.7109375" style="31" customWidth="1"/>
    <col min="4105" max="4106" width="14.140625" style="31" customWidth="1"/>
    <col min="4107" max="4107" width="15.140625" style="31" customWidth="1"/>
    <col min="4108" max="4108" width="21.5703125" style="31" customWidth="1"/>
    <col min="4109" max="4350" width="9.140625" style="31"/>
    <col min="4351" max="4351" width="6.5703125" style="31" customWidth="1"/>
    <col min="4352" max="4352" width="35.28515625" style="31" customWidth="1"/>
    <col min="4353" max="4353" width="14" style="31" customWidth="1"/>
    <col min="4354" max="4354" width="11.42578125" style="31" customWidth="1"/>
    <col min="4355" max="4355" width="21.7109375" style="31" customWidth="1"/>
    <col min="4356" max="4356" width="13.7109375" style="31" customWidth="1"/>
    <col min="4357" max="4357" width="14.85546875" style="31" customWidth="1"/>
    <col min="4358" max="4358" width="19.5703125" style="31" customWidth="1"/>
    <col min="4359" max="4359" width="13.7109375" style="31" customWidth="1"/>
    <col min="4360" max="4360" width="14.7109375" style="31" customWidth="1"/>
    <col min="4361" max="4362" width="14.140625" style="31" customWidth="1"/>
    <col min="4363" max="4363" width="15.140625" style="31" customWidth="1"/>
    <col min="4364" max="4364" width="21.5703125" style="31" customWidth="1"/>
    <col min="4365" max="4606" width="9.140625" style="31"/>
    <col min="4607" max="4607" width="6.5703125" style="31" customWidth="1"/>
    <col min="4608" max="4608" width="35.28515625" style="31" customWidth="1"/>
    <col min="4609" max="4609" width="14" style="31" customWidth="1"/>
    <col min="4610" max="4610" width="11.42578125" style="31" customWidth="1"/>
    <col min="4611" max="4611" width="21.7109375" style="31" customWidth="1"/>
    <col min="4612" max="4612" width="13.7109375" style="31" customWidth="1"/>
    <col min="4613" max="4613" width="14.85546875" style="31" customWidth="1"/>
    <col min="4614" max="4614" width="19.5703125" style="31" customWidth="1"/>
    <col min="4615" max="4615" width="13.7109375" style="31" customWidth="1"/>
    <col min="4616" max="4616" width="14.7109375" style="31" customWidth="1"/>
    <col min="4617" max="4618" width="14.140625" style="31" customWidth="1"/>
    <col min="4619" max="4619" width="15.140625" style="31" customWidth="1"/>
    <col min="4620" max="4620" width="21.5703125" style="31" customWidth="1"/>
    <col min="4621" max="4862" width="9.140625" style="31"/>
    <col min="4863" max="4863" width="6.5703125" style="31" customWidth="1"/>
    <col min="4864" max="4864" width="35.28515625" style="31" customWidth="1"/>
    <col min="4865" max="4865" width="14" style="31" customWidth="1"/>
    <col min="4866" max="4866" width="11.42578125" style="31" customWidth="1"/>
    <col min="4867" max="4867" width="21.7109375" style="31" customWidth="1"/>
    <col min="4868" max="4868" width="13.7109375" style="31" customWidth="1"/>
    <col min="4869" max="4869" width="14.85546875" style="31" customWidth="1"/>
    <col min="4870" max="4870" width="19.5703125" style="31" customWidth="1"/>
    <col min="4871" max="4871" width="13.7109375" style="31" customWidth="1"/>
    <col min="4872" max="4872" width="14.7109375" style="31" customWidth="1"/>
    <col min="4873" max="4874" width="14.140625" style="31" customWidth="1"/>
    <col min="4875" max="4875" width="15.140625" style="31" customWidth="1"/>
    <col min="4876" max="4876" width="21.5703125" style="31" customWidth="1"/>
    <col min="4877" max="5118" width="9.140625" style="31"/>
    <col min="5119" max="5119" width="6.5703125" style="31" customWidth="1"/>
    <col min="5120" max="5120" width="35.28515625" style="31" customWidth="1"/>
    <col min="5121" max="5121" width="14" style="31" customWidth="1"/>
    <col min="5122" max="5122" width="11.42578125" style="31" customWidth="1"/>
    <col min="5123" max="5123" width="21.7109375" style="31" customWidth="1"/>
    <col min="5124" max="5124" width="13.7109375" style="31" customWidth="1"/>
    <col min="5125" max="5125" width="14.85546875" style="31" customWidth="1"/>
    <col min="5126" max="5126" width="19.5703125" style="31" customWidth="1"/>
    <col min="5127" max="5127" width="13.7109375" style="31" customWidth="1"/>
    <col min="5128" max="5128" width="14.7109375" style="31" customWidth="1"/>
    <col min="5129" max="5130" width="14.140625" style="31" customWidth="1"/>
    <col min="5131" max="5131" width="15.140625" style="31" customWidth="1"/>
    <col min="5132" max="5132" width="21.5703125" style="31" customWidth="1"/>
    <col min="5133" max="5374" width="9.140625" style="31"/>
    <col min="5375" max="5375" width="6.5703125" style="31" customWidth="1"/>
    <col min="5376" max="5376" width="35.28515625" style="31" customWidth="1"/>
    <col min="5377" max="5377" width="14" style="31" customWidth="1"/>
    <col min="5378" max="5378" width="11.42578125" style="31" customWidth="1"/>
    <col min="5379" max="5379" width="21.7109375" style="31" customWidth="1"/>
    <col min="5380" max="5380" width="13.7109375" style="31" customWidth="1"/>
    <col min="5381" max="5381" width="14.85546875" style="31" customWidth="1"/>
    <col min="5382" max="5382" width="19.5703125" style="31" customWidth="1"/>
    <col min="5383" max="5383" width="13.7109375" style="31" customWidth="1"/>
    <col min="5384" max="5384" width="14.7109375" style="31" customWidth="1"/>
    <col min="5385" max="5386" width="14.140625" style="31" customWidth="1"/>
    <col min="5387" max="5387" width="15.140625" style="31" customWidth="1"/>
    <col min="5388" max="5388" width="21.5703125" style="31" customWidth="1"/>
    <col min="5389" max="5630" width="9.140625" style="31"/>
    <col min="5631" max="5631" width="6.5703125" style="31" customWidth="1"/>
    <col min="5632" max="5632" width="35.28515625" style="31" customWidth="1"/>
    <col min="5633" max="5633" width="14" style="31" customWidth="1"/>
    <col min="5634" max="5634" width="11.42578125" style="31" customWidth="1"/>
    <col min="5635" max="5635" width="21.7109375" style="31" customWidth="1"/>
    <col min="5636" max="5636" width="13.7109375" style="31" customWidth="1"/>
    <col min="5637" max="5637" width="14.85546875" style="31" customWidth="1"/>
    <col min="5638" max="5638" width="19.5703125" style="31" customWidth="1"/>
    <col min="5639" max="5639" width="13.7109375" style="31" customWidth="1"/>
    <col min="5640" max="5640" width="14.7109375" style="31" customWidth="1"/>
    <col min="5641" max="5642" width="14.140625" style="31" customWidth="1"/>
    <col min="5643" max="5643" width="15.140625" style="31" customWidth="1"/>
    <col min="5644" max="5644" width="21.5703125" style="31" customWidth="1"/>
    <col min="5645" max="5886" width="9.140625" style="31"/>
    <col min="5887" max="5887" width="6.5703125" style="31" customWidth="1"/>
    <col min="5888" max="5888" width="35.28515625" style="31" customWidth="1"/>
    <col min="5889" max="5889" width="14" style="31" customWidth="1"/>
    <col min="5890" max="5890" width="11.42578125" style="31" customWidth="1"/>
    <col min="5891" max="5891" width="21.7109375" style="31" customWidth="1"/>
    <col min="5892" max="5892" width="13.7109375" style="31" customWidth="1"/>
    <col min="5893" max="5893" width="14.85546875" style="31" customWidth="1"/>
    <col min="5894" max="5894" width="19.5703125" style="31" customWidth="1"/>
    <col min="5895" max="5895" width="13.7109375" style="31" customWidth="1"/>
    <col min="5896" max="5896" width="14.7109375" style="31" customWidth="1"/>
    <col min="5897" max="5898" width="14.140625" style="31" customWidth="1"/>
    <col min="5899" max="5899" width="15.140625" style="31" customWidth="1"/>
    <col min="5900" max="5900" width="21.5703125" style="31" customWidth="1"/>
    <col min="5901" max="6142" width="9.140625" style="31"/>
    <col min="6143" max="6143" width="6.5703125" style="31" customWidth="1"/>
    <col min="6144" max="6144" width="35.28515625" style="31" customWidth="1"/>
    <col min="6145" max="6145" width="14" style="31" customWidth="1"/>
    <col min="6146" max="6146" width="11.42578125" style="31" customWidth="1"/>
    <col min="6147" max="6147" width="21.7109375" style="31" customWidth="1"/>
    <col min="6148" max="6148" width="13.7109375" style="31" customWidth="1"/>
    <col min="6149" max="6149" width="14.85546875" style="31" customWidth="1"/>
    <col min="6150" max="6150" width="19.5703125" style="31" customWidth="1"/>
    <col min="6151" max="6151" width="13.7109375" style="31" customWidth="1"/>
    <col min="6152" max="6152" width="14.7109375" style="31" customWidth="1"/>
    <col min="6153" max="6154" width="14.140625" style="31" customWidth="1"/>
    <col min="6155" max="6155" width="15.140625" style="31" customWidth="1"/>
    <col min="6156" max="6156" width="21.5703125" style="31" customWidth="1"/>
    <col min="6157" max="6398" width="9.140625" style="31"/>
    <col min="6399" max="6399" width="6.5703125" style="31" customWidth="1"/>
    <col min="6400" max="6400" width="35.28515625" style="31" customWidth="1"/>
    <col min="6401" max="6401" width="14" style="31" customWidth="1"/>
    <col min="6402" max="6402" width="11.42578125" style="31" customWidth="1"/>
    <col min="6403" max="6403" width="21.7109375" style="31" customWidth="1"/>
    <col min="6404" max="6404" width="13.7109375" style="31" customWidth="1"/>
    <col min="6405" max="6405" width="14.85546875" style="31" customWidth="1"/>
    <col min="6406" max="6406" width="19.5703125" style="31" customWidth="1"/>
    <col min="6407" max="6407" width="13.7109375" style="31" customWidth="1"/>
    <col min="6408" max="6408" width="14.7109375" style="31" customWidth="1"/>
    <col min="6409" max="6410" width="14.140625" style="31" customWidth="1"/>
    <col min="6411" max="6411" width="15.140625" style="31" customWidth="1"/>
    <col min="6412" max="6412" width="21.5703125" style="31" customWidth="1"/>
    <col min="6413" max="6654" width="9.140625" style="31"/>
    <col min="6655" max="6655" width="6.5703125" style="31" customWidth="1"/>
    <col min="6656" max="6656" width="35.28515625" style="31" customWidth="1"/>
    <col min="6657" max="6657" width="14" style="31" customWidth="1"/>
    <col min="6658" max="6658" width="11.42578125" style="31" customWidth="1"/>
    <col min="6659" max="6659" width="21.7109375" style="31" customWidth="1"/>
    <col min="6660" max="6660" width="13.7109375" style="31" customWidth="1"/>
    <col min="6661" max="6661" width="14.85546875" style="31" customWidth="1"/>
    <col min="6662" max="6662" width="19.5703125" style="31" customWidth="1"/>
    <col min="6663" max="6663" width="13.7109375" style="31" customWidth="1"/>
    <col min="6664" max="6664" width="14.7109375" style="31" customWidth="1"/>
    <col min="6665" max="6666" width="14.140625" style="31" customWidth="1"/>
    <col min="6667" max="6667" width="15.140625" style="31" customWidth="1"/>
    <col min="6668" max="6668" width="21.5703125" style="31" customWidth="1"/>
    <col min="6669" max="6910" width="9.140625" style="31"/>
    <col min="6911" max="6911" width="6.5703125" style="31" customWidth="1"/>
    <col min="6912" max="6912" width="35.28515625" style="31" customWidth="1"/>
    <col min="6913" max="6913" width="14" style="31" customWidth="1"/>
    <col min="6914" max="6914" width="11.42578125" style="31" customWidth="1"/>
    <col min="6915" max="6915" width="21.7109375" style="31" customWidth="1"/>
    <col min="6916" max="6916" width="13.7109375" style="31" customWidth="1"/>
    <col min="6917" max="6917" width="14.85546875" style="31" customWidth="1"/>
    <col min="6918" max="6918" width="19.5703125" style="31" customWidth="1"/>
    <col min="6919" max="6919" width="13.7109375" style="31" customWidth="1"/>
    <col min="6920" max="6920" width="14.7109375" style="31" customWidth="1"/>
    <col min="6921" max="6922" width="14.140625" style="31" customWidth="1"/>
    <col min="6923" max="6923" width="15.140625" style="31" customWidth="1"/>
    <col min="6924" max="6924" width="21.5703125" style="31" customWidth="1"/>
    <col min="6925" max="7166" width="9.140625" style="31"/>
    <col min="7167" max="7167" width="6.5703125" style="31" customWidth="1"/>
    <col min="7168" max="7168" width="35.28515625" style="31" customWidth="1"/>
    <col min="7169" max="7169" width="14" style="31" customWidth="1"/>
    <col min="7170" max="7170" width="11.42578125" style="31" customWidth="1"/>
    <col min="7171" max="7171" width="21.7109375" style="31" customWidth="1"/>
    <col min="7172" max="7172" width="13.7109375" style="31" customWidth="1"/>
    <col min="7173" max="7173" width="14.85546875" style="31" customWidth="1"/>
    <col min="7174" max="7174" width="19.5703125" style="31" customWidth="1"/>
    <col min="7175" max="7175" width="13.7109375" style="31" customWidth="1"/>
    <col min="7176" max="7176" width="14.7109375" style="31" customWidth="1"/>
    <col min="7177" max="7178" width="14.140625" style="31" customWidth="1"/>
    <col min="7179" max="7179" width="15.140625" style="31" customWidth="1"/>
    <col min="7180" max="7180" width="21.5703125" style="31" customWidth="1"/>
    <col min="7181" max="7422" width="9.140625" style="31"/>
    <col min="7423" max="7423" width="6.5703125" style="31" customWidth="1"/>
    <col min="7424" max="7424" width="35.28515625" style="31" customWidth="1"/>
    <col min="7425" max="7425" width="14" style="31" customWidth="1"/>
    <col min="7426" max="7426" width="11.42578125" style="31" customWidth="1"/>
    <col min="7427" max="7427" width="21.7109375" style="31" customWidth="1"/>
    <col min="7428" max="7428" width="13.7109375" style="31" customWidth="1"/>
    <col min="7429" max="7429" width="14.85546875" style="31" customWidth="1"/>
    <col min="7430" max="7430" width="19.5703125" style="31" customWidth="1"/>
    <col min="7431" max="7431" width="13.7109375" style="31" customWidth="1"/>
    <col min="7432" max="7432" width="14.7109375" style="31" customWidth="1"/>
    <col min="7433" max="7434" width="14.140625" style="31" customWidth="1"/>
    <col min="7435" max="7435" width="15.140625" style="31" customWidth="1"/>
    <col min="7436" max="7436" width="21.5703125" style="31" customWidth="1"/>
    <col min="7437" max="7678" width="9.140625" style="31"/>
    <col min="7679" max="7679" width="6.5703125" style="31" customWidth="1"/>
    <col min="7680" max="7680" width="35.28515625" style="31" customWidth="1"/>
    <col min="7681" max="7681" width="14" style="31" customWidth="1"/>
    <col min="7682" max="7682" width="11.42578125" style="31" customWidth="1"/>
    <col min="7683" max="7683" width="21.7109375" style="31" customWidth="1"/>
    <col min="7684" max="7684" width="13.7109375" style="31" customWidth="1"/>
    <col min="7685" max="7685" width="14.85546875" style="31" customWidth="1"/>
    <col min="7686" max="7686" width="19.5703125" style="31" customWidth="1"/>
    <col min="7687" max="7687" width="13.7109375" style="31" customWidth="1"/>
    <col min="7688" max="7688" width="14.7109375" style="31" customWidth="1"/>
    <col min="7689" max="7690" width="14.140625" style="31" customWidth="1"/>
    <col min="7691" max="7691" width="15.140625" style="31" customWidth="1"/>
    <col min="7692" max="7692" width="21.5703125" style="31" customWidth="1"/>
    <col min="7693" max="7934" width="9.140625" style="31"/>
    <col min="7935" max="7935" width="6.5703125" style="31" customWidth="1"/>
    <col min="7936" max="7936" width="35.28515625" style="31" customWidth="1"/>
    <col min="7937" max="7937" width="14" style="31" customWidth="1"/>
    <col min="7938" max="7938" width="11.42578125" style="31" customWidth="1"/>
    <col min="7939" max="7939" width="21.7109375" style="31" customWidth="1"/>
    <col min="7940" max="7940" width="13.7109375" style="31" customWidth="1"/>
    <col min="7941" max="7941" width="14.85546875" style="31" customWidth="1"/>
    <col min="7942" max="7942" width="19.5703125" style="31" customWidth="1"/>
    <col min="7943" max="7943" width="13.7109375" style="31" customWidth="1"/>
    <col min="7944" max="7944" width="14.7109375" style="31" customWidth="1"/>
    <col min="7945" max="7946" width="14.140625" style="31" customWidth="1"/>
    <col min="7947" max="7947" width="15.140625" style="31" customWidth="1"/>
    <col min="7948" max="7948" width="21.5703125" style="31" customWidth="1"/>
    <col min="7949" max="8190" width="9.140625" style="31"/>
    <col min="8191" max="8191" width="6.5703125" style="31" customWidth="1"/>
    <col min="8192" max="8192" width="35.28515625" style="31" customWidth="1"/>
    <col min="8193" max="8193" width="14" style="31" customWidth="1"/>
    <col min="8194" max="8194" width="11.42578125" style="31" customWidth="1"/>
    <col min="8195" max="8195" width="21.7109375" style="31" customWidth="1"/>
    <col min="8196" max="8196" width="13.7109375" style="31" customWidth="1"/>
    <col min="8197" max="8197" width="14.85546875" style="31" customWidth="1"/>
    <col min="8198" max="8198" width="19.5703125" style="31" customWidth="1"/>
    <col min="8199" max="8199" width="13.7109375" style="31" customWidth="1"/>
    <col min="8200" max="8200" width="14.7109375" style="31" customWidth="1"/>
    <col min="8201" max="8202" width="14.140625" style="31" customWidth="1"/>
    <col min="8203" max="8203" width="15.140625" style="31" customWidth="1"/>
    <col min="8204" max="8204" width="21.5703125" style="31" customWidth="1"/>
    <col min="8205" max="8446" width="9.140625" style="31"/>
    <col min="8447" max="8447" width="6.5703125" style="31" customWidth="1"/>
    <col min="8448" max="8448" width="35.28515625" style="31" customWidth="1"/>
    <col min="8449" max="8449" width="14" style="31" customWidth="1"/>
    <col min="8450" max="8450" width="11.42578125" style="31" customWidth="1"/>
    <col min="8451" max="8451" width="21.7109375" style="31" customWidth="1"/>
    <col min="8452" max="8452" width="13.7109375" style="31" customWidth="1"/>
    <col min="8453" max="8453" width="14.85546875" style="31" customWidth="1"/>
    <col min="8454" max="8454" width="19.5703125" style="31" customWidth="1"/>
    <col min="8455" max="8455" width="13.7109375" style="31" customWidth="1"/>
    <col min="8456" max="8456" width="14.7109375" style="31" customWidth="1"/>
    <col min="8457" max="8458" width="14.140625" style="31" customWidth="1"/>
    <col min="8459" max="8459" width="15.140625" style="31" customWidth="1"/>
    <col min="8460" max="8460" width="21.5703125" style="31" customWidth="1"/>
    <col min="8461" max="8702" width="9.140625" style="31"/>
    <col min="8703" max="8703" width="6.5703125" style="31" customWidth="1"/>
    <col min="8704" max="8704" width="35.28515625" style="31" customWidth="1"/>
    <col min="8705" max="8705" width="14" style="31" customWidth="1"/>
    <col min="8706" max="8706" width="11.42578125" style="31" customWidth="1"/>
    <col min="8707" max="8707" width="21.7109375" style="31" customWidth="1"/>
    <col min="8708" max="8708" width="13.7109375" style="31" customWidth="1"/>
    <col min="8709" max="8709" width="14.85546875" style="31" customWidth="1"/>
    <col min="8710" max="8710" width="19.5703125" style="31" customWidth="1"/>
    <col min="8711" max="8711" width="13.7109375" style="31" customWidth="1"/>
    <col min="8712" max="8712" width="14.7109375" style="31" customWidth="1"/>
    <col min="8713" max="8714" width="14.140625" style="31" customWidth="1"/>
    <col min="8715" max="8715" width="15.140625" style="31" customWidth="1"/>
    <col min="8716" max="8716" width="21.5703125" style="31" customWidth="1"/>
    <col min="8717" max="8958" width="9.140625" style="31"/>
    <col min="8959" max="8959" width="6.5703125" style="31" customWidth="1"/>
    <col min="8960" max="8960" width="35.28515625" style="31" customWidth="1"/>
    <col min="8961" max="8961" width="14" style="31" customWidth="1"/>
    <col min="8962" max="8962" width="11.42578125" style="31" customWidth="1"/>
    <col min="8963" max="8963" width="21.7109375" style="31" customWidth="1"/>
    <col min="8964" max="8964" width="13.7109375" style="31" customWidth="1"/>
    <col min="8965" max="8965" width="14.85546875" style="31" customWidth="1"/>
    <col min="8966" max="8966" width="19.5703125" style="31" customWidth="1"/>
    <col min="8967" max="8967" width="13.7109375" style="31" customWidth="1"/>
    <col min="8968" max="8968" width="14.7109375" style="31" customWidth="1"/>
    <col min="8969" max="8970" width="14.140625" style="31" customWidth="1"/>
    <col min="8971" max="8971" width="15.140625" style="31" customWidth="1"/>
    <col min="8972" max="8972" width="21.5703125" style="31" customWidth="1"/>
    <col min="8973" max="9214" width="9.140625" style="31"/>
    <col min="9215" max="9215" width="6.5703125" style="31" customWidth="1"/>
    <col min="9216" max="9216" width="35.28515625" style="31" customWidth="1"/>
    <col min="9217" max="9217" width="14" style="31" customWidth="1"/>
    <col min="9218" max="9218" width="11.42578125" style="31" customWidth="1"/>
    <col min="9219" max="9219" width="21.7109375" style="31" customWidth="1"/>
    <col min="9220" max="9220" width="13.7109375" style="31" customWidth="1"/>
    <col min="9221" max="9221" width="14.85546875" style="31" customWidth="1"/>
    <col min="9222" max="9222" width="19.5703125" style="31" customWidth="1"/>
    <col min="9223" max="9223" width="13.7109375" style="31" customWidth="1"/>
    <col min="9224" max="9224" width="14.7109375" style="31" customWidth="1"/>
    <col min="9225" max="9226" width="14.140625" style="31" customWidth="1"/>
    <col min="9227" max="9227" width="15.140625" style="31" customWidth="1"/>
    <col min="9228" max="9228" width="21.5703125" style="31" customWidth="1"/>
    <col min="9229" max="9470" width="9.140625" style="31"/>
    <col min="9471" max="9471" width="6.5703125" style="31" customWidth="1"/>
    <col min="9472" max="9472" width="35.28515625" style="31" customWidth="1"/>
    <col min="9473" max="9473" width="14" style="31" customWidth="1"/>
    <col min="9474" max="9474" width="11.42578125" style="31" customWidth="1"/>
    <col min="9475" max="9475" width="21.7109375" style="31" customWidth="1"/>
    <col min="9476" max="9476" width="13.7109375" style="31" customWidth="1"/>
    <col min="9477" max="9477" width="14.85546875" style="31" customWidth="1"/>
    <col min="9478" max="9478" width="19.5703125" style="31" customWidth="1"/>
    <col min="9479" max="9479" width="13.7109375" style="31" customWidth="1"/>
    <col min="9480" max="9480" width="14.7109375" style="31" customWidth="1"/>
    <col min="9481" max="9482" width="14.140625" style="31" customWidth="1"/>
    <col min="9483" max="9483" width="15.140625" style="31" customWidth="1"/>
    <col min="9484" max="9484" width="21.5703125" style="31" customWidth="1"/>
    <col min="9485" max="9726" width="9.140625" style="31"/>
    <col min="9727" max="9727" width="6.5703125" style="31" customWidth="1"/>
    <col min="9728" max="9728" width="35.28515625" style="31" customWidth="1"/>
    <col min="9729" max="9729" width="14" style="31" customWidth="1"/>
    <col min="9730" max="9730" width="11.42578125" style="31" customWidth="1"/>
    <col min="9731" max="9731" width="21.7109375" style="31" customWidth="1"/>
    <col min="9732" max="9732" width="13.7109375" style="31" customWidth="1"/>
    <col min="9733" max="9733" width="14.85546875" style="31" customWidth="1"/>
    <col min="9734" max="9734" width="19.5703125" style="31" customWidth="1"/>
    <col min="9735" max="9735" width="13.7109375" style="31" customWidth="1"/>
    <col min="9736" max="9736" width="14.7109375" style="31" customWidth="1"/>
    <col min="9737" max="9738" width="14.140625" style="31" customWidth="1"/>
    <col min="9739" max="9739" width="15.140625" style="31" customWidth="1"/>
    <col min="9740" max="9740" width="21.5703125" style="31" customWidth="1"/>
    <col min="9741" max="9982" width="9.140625" style="31"/>
    <col min="9983" max="9983" width="6.5703125" style="31" customWidth="1"/>
    <col min="9984" max="9984" width="35.28515625" style="31" customWidth="1"/>
    <col min="9985" max="9985" width="14" style="31" customWidth="1"/>
    <col min="9986" max="9986" width="11.42578125" style="31" customWidth="1"/>
    <col min="9987" max="9987" width="21.7109375" style="31" customWidth="1"/>
    <col min="9988" max="9988" width="13.7109375" style="31" customWidth="1"/>
    <col min="9989" max="9989" width="14.85546875" style="31" customWidth="1"/>
    <col min="9990" max="9990" width="19.5703125" style="31" customWidth="1"/>
    <col min="9991" max="9991" width="13.7109375" style="31" customWidth="1"/>
    <col min="9992" max="9992" width="14.7109375" style="31" customWidth="1"/>
    <col min="9993" max="9994" width="14.140625" style="31" customWidth="1"/>
    <col min="9995" max="9995" width="15.140625" style="31" customWidth="1"/>
    <col min="9996" max="9996" width="21.5703125" style="31" customWidth="1"/>
    <col min="9997" max="10238" width="9.140625" style="31"/>
    <col min="10239" max="10239" width="6.5703125" style="31" customWidth="1"/>
    <col min="10240" max="10240" width="35.28515625" style="31" customWidth="1"/>
    <col min="10241" max="10241" width="14" style="31" customWidth="1"/>
    <col min="10242" max="10242" width="11.42578125" style="31" customWidth="1"/>
    <col min="10243" max="10243" width="21.7109375" style="31" customWidth="1"/>
    <col min="10244" max="10244" width="13.7109375" style="31" customWidth="1"/>
    <col min="10245" max="10245" width="14.85546875" style="31" customWidth="1"/>
    <col min="10246" max="10246" width="19.5703125" style="31" customWidth="1"/>
    <col min="10247" max="10247" width="13.7109375" style="31" customWidth="1"/>
    <col min="10248" max="10248" width="14.7109375" style="31" customWidth="1"/>
    <col min="10249" max="10250" width="14.140625" style="31" customWidth="1"/>
    <col min="10251" max="10251" width="15.140625" style="31" customWidth="1"/>
    <col min="10252" max="10252" width="21.5703125" style="31" customWidth="1"/>
    <col min="10253" max="10494" width="9.140625" style="31"/>
    <col min="10495" max="10495" width="6.5703125" style="31" customWidth="1"/>
    <col min="10496" max="10496" width="35.28515625" style="31" customWidth="1"/>
    <col min="10497" max="10497" width="14" style="31" customWidth="1"/>
    <col min="10498" max="10498" width="11.42578125" style="31" customWidth="1"/>
    <col min="10499" max="10499" width="21.7109375" style="31" customWidth="1"/>
    <col min="10500" max="10500" width="13.7109375" style="31" customWidth="1"/>
    <col min="10501" max="10501" width="14.85546875" style="31" customWidth="1"/>
    <col min="10502" max="10502" width="19.5703125" style="31" customWidth="1"/>
    <col min="10503" max="10503" width="13.7109375" style="31" customWidth="1"/>
    <col min="10504" max="10504" width="14.7109375" style="31" customWidth="1"/>
    <col min="10505" max="10506" width="14.140625" style="31" customWidth="1"/>
    <col min="10507" max="10507" width="15.140625" style="31" customWidth="1"/>
    <col min="10508" max="10508" width="21.5703125" style="31" customWidth="1"/>
    <col min="10509" max="10750" width="9.140625" style="31"/>
    <col min="10751" max="10751" width="6.5703125" style="31" customWidth="1"/>
    <col min="10752" max="10752" width="35.28515625" style="31" customWidth="1"/>
    <col min="10753" max="10753" width="14" style="31" customWidth="1"/>
    <col min="10754" max="10754" width="11.42578125" style="31" customWidth="1"/>
    <col min="10755" max="10755" width="21.7109375" style="31" customWidth="1"/>
    <col min="10756" max="10756" width="13.7109375" style="31" customWidth="1"/>
    <col min="10757" max="10757" width="14.85546875" style="31" customWidth="1"/>
    <col min="10758" max="10758" width="19.5703125" style="31" customWidth="1"/>
    <col min="10759" max="10759" width="13.7109375" style="31" customWidth="1"/>
    <col min="10760" max="10760" width="14.7109375" style="31" customWidth="1"/>
    <col min="10761" max="10762" width="14.140625" style="31" customWidth="1"/>
    <col min="10763" max="10763" width="15.140625" style="31" customWidth="1"/>
    <col min="10764" max="10764" width="21.5703125" style="31" customWidth="1"/>
    <col min="10765" max="11006" width="9.140625" style="31"/>
    <col min="11007" max="11007" width="6.5703125" style="31" customWidth="1"/>
    <col min="11008" max="11008" width="35.28515625" style="31" customWidth="1"/>
    <col min="11009" max="11009" width="14" style="31" customWidth="1"/>
    <col min="11010" max="11010" width="11.42578125" style="31" customWidth="1"/>
    <col min="11011" max="11011" width="21.7109375" style="31" customWidth="1"/>
    <col min="11012" max="11012" width="13.7109375" style="31" customWidth="1"/>
    <col min="11013" max="11013" width="14.85546875" style="31" customWidth="1"/>
    <col min="11014" max="11014" width="19.5703125" style="31" customWidth="1"/>
    <col min="11015" max="11015" width="13.7109375" style="31" customWidth="1"/>
    <col min="11016" max="11016" width="14.7109375" style="31" customWidth="1"/>
    <col min="11017" max="11018" width="14.140625" style="31" customWidth="1"/>
    <col min="11019" max="11019" width="15.140625" style="31" customWidth="1"/>
    <col min="11020" max="11020" width="21.5703125" style="31" customWidth="1"/>
    <col min="11021" max="11262" width="9.140625" style="31"/>
    <col min="11263" max="11263" width="6.5703125" style="31" customWidth="1"/>
    <col min="11264" max="11264" width="35.28515625" style="31" customWidth="1"/>
    <col min="11265" max="11265" width="14" style="31" customWidth="1"/>
    <col min="11266" max="11266" width="11.42578125" style="31" customWidth="1"/>
    <col min="11267" max="11267" width="21.7109375" style="31" customWidth="1"/>
    <col min="11268" max="11268" width="13.7109375" style="31" customWidth="1"/>
    <col min="11269" max="11269" width="14.85546875" style="31" customWidth="1"/>
    <col min="11270" max="11270" width="19.5703125" style="31" customWidth="1"/>
    <col min="11271" max="11271" width="13.7109375" style="31" customWidth="1"/>
    <col min="11272" max="11272" width="14.7109375" style="31" customWidth="1"/>
    <col min="11273" max="11274" width="14.140625" style="31" customWidth="1"/>
    <col min="11275" max="11275" width="15.140625" style="31" customWidth="1"/>
    <col min="11276" max="11276" width="21.5703125" style="31" customWidth="1"/>
    <col min="11277" max="11518" width="9.140625" style="31"/>
    <col min="11519" max="11519" width="6.5703125" style="31" customWidth="1"/>
    <col min="11520" max="11520" width="35.28515625" style="31" customWidth="1"/>
    <col min="11521" max="11521" width="14" style="31" customWidth="1"/>
    <col min="11522" max="11522" width="11.42578125" style="31" customWidth="1"/>
    <col min="11523" max="11523" width="21.7109375" style="31" customWidth="1"/>
    <col min="11524" max="11524" width="13.7109375" style="31" customWidth="1"/>
    <col min="11525" max="11525" width="14.85546875" style="31" customWidth="1"/>
    <col min="11526" max="11526" width="19.5703125" style="31" customWidth="1"/>
    <col min="11527" max="11527" width="13.7109375" style="31" customWidth="1"/>
    <col min="11528" max="11528" width="14.7109375" style="31" customWidth="1"/>
    <col min="11529" max="11530" width="14.140625" style="31" customWidth="1"/>
    <col min="11531" max="11531" width="15.140625" style="31" customWidth="1"/>
    <col min="11532" max="11532" width="21.5703125" style="31" customWidth="1"/>
    <col min="11533" max="11774" width="9.140625" style="31"/>
    <col min="11775" max="11775" width="6.5703125" style="31" customWidth="1"/>
    <col min="11776" max="11776" width="35.28515625" style="31" customWidth="1"/>
    <col min="11777" max="11777" width="14" style="31" customWidth="1"/>
    <col min="11778" max="11778" width="11.42578125" style="31" customWidth="1"/>
    <col min="11779" max="11779" width="21.7109375" style="31" customWidth="1"/>
    <col min="11780" max="11780" width="13.7109375" style="31" customWidth="1"/>
    <col min="11781" max="11781" width="14.85546875" style="31" customWidth="1"/>
    <col min="11782" max="11782" width="19.5703125" style="31" customWidth="1"/>
    <col min="11783" max="11783" width="13.7109375" style="31" customWidth="1"/>
    <col min="11784" max="11784" width="14.7109375" style="31" customWidth="1"/>
    <col min="11785" max="11786" width="14.140625" style="31" customWidth="1"/>
    <col min="11787" max="11787" width="15.140625" style="31" customWidth="1"/>
    <col min="11788" max="11788" width="21.5703125" style="31" customWidth="1"/>
    <col min="11789" max="12030" width="9.140625" style="31"/>
    <col min="12031" max="12031" width="6.5703125" style="31" customWidth="1"/>
    <col min="12032" max="12032" width="35.28515625" style="31" customWidth="1"/>
    <col min="12033" max="12033" width="14" style="31" customWidth="1"/>
    <col min="12034" max="12034" width="11.42578125" style="31" customWidth="1"/>
    <col min="12035" max="12035" width="21.7109375" style="31" customWidth="1"/>
    <col min="12036" max="12036" width="13.7109375" style="31" customWidth="1"/>
    <col min="12037" max="12037" width="14.85546875" style="31" customWidth="1"/>
    <col min="12038" max="12038" width="19.5703125" style="31" customWidth="1"/>
    <col min="12039" max="12039" width="13.7109375" style="31" customWidth="1"/>
    <col min="12040" max="12040" width="14.7109375" style="31" customWidth="1"/>
    <col min="12041" max="12042" width="14.140625" style="31" customWidth="1"/>
    <col min="12043" max="12043" width="15.140625" style="31" customWidth="1"/>
    <col min="12044" max="12044" width="21.5703125" style="31" customWidth="1"/>
    <col min="12045" max="12286" width="9.140625" style="31"/>
    <col min="12287" max="12287" width="6.5703125" style="31" customWidth="1"/>
    <col min="12288" max="12288" width="35.28515625" style="31" customWidth="1"/>
    <col min="12289" max="12289" width="14" style="31" customWidth="1"/>
    <col min="12290" max="12290" width="11.42578125" style="31" customWidth="1"/>
    <col min="12291" max="12291" width="21.7109375" style="31" customWidth="1"/>
    <col min="12292" max="12292" width="13.7109375" style="31" customWidth="1"/>
    <col min="12293" max="12293" width="14.85546875" style="31" customWidth="1"/>
    <col min="12294" max="12294" width="19.5703125" style="31" customWidth="1"/>
    <col min="12295" max="12295" width="13.7109375" style="31" customWidth="1"/>
    <col min="12296" max="12296" width="14.7109375" style="31" customWidth="1"/>
    <col min="12297" max="12298" width="14.140625" style="31" customWidth="1"/>
    <col min="12299" max="12299" width="15.140625" style="31" customWidth="1"/>
    <col min="12300" max="12300" width="21.5703125" style="31" customWidth="1"/>
    <col min="12301" max="12542" width="9.140625" style="31"/>
    <col min="12543" max="12543" width="6.5703125" style="31" customWidth="1"/>
    <col min="12544" max="12544" width="35.28515625" style="31" customWidth="1"/>
    <col min="12545" max="12545" width="14" style="31" customWidth="1"/>
    <col min="12546" max="12546" width="11.42578125" style="31" customWidth="1"/>
    <col min="12547" max="12547" width="21.7109375" style="31" customWidth="1"/>
    <col min="12548" max="12548" width="13.7109375" style="31" customWidth="1"/>
    <col min="12549" max="12549" width="14.85546875" style="31" customWidth="1"/>
    <col min="12550" max="12550" width="19.5703125" style="31" customWidth="1"/>
    <col min="12551" max="12551" width="13.7109375" style="31" customWidth="1"/>
    <col min="12552" max="12552" width="14.7109375" style="31" customWidth="1"/>
    <col min="12553" max="12554" width="14.140625" style="31" customWidth="1"/>
    <col min="12555" max="12555" width="15.140625" style="31" customWidth="1"/>
    <col min="12556" max="12556" width="21.5703125" style="31" customWidth="1"/>
    <col min="12557" max="12798" width="9.140625" style="31"/>
    <col min="12799" max="12799" width="6.5703125" style="31" customWidth="1"/>
    <col min="12800" max="12800" width="35.28515625" style="31" customWidth="1"/>
    <col min="12801" max="12801" width="14" style="31" customWidth="1"/>
    <col min="12802" max="12802" width="11.42578125" style="31" customWidth="1"/>
    <col min="12803" max="12803" width="21.7109375" style="31" customWidth="1"/>
    <col min="12804" max="12804" width="13.7109375" style="31" customWidth="1"/>
    <col min="12805" max="12805" width="14.85546875" style="31" customWidth="1"/>
    <col min="12806" max="12806" width="19.5703125" style="31" customWidth="1"/>
    <col min="12807" max="12807" width="13.7109375" style="31" customWidth="1"/>
    <col min="12808" max="12808" width="14.7109375" style="31" customWidth="1"/>
    <col min="12809" max="12810" width="14.140625" style="31" customWidth="1"/>
    <col min="12811" max="12811" width="15.140625" style="31" customWidth="1"/>
    <col min="12812" max="12812" width="21.5703125" style="31" customWidth="1"/>
    <col min="12813" max="13054" width="9.140625" style="31"/>
    <col min="13055" max="13055" width="6.5703125" style="31" customWidth="1"/>
    <col min="13056" max="13056" width="35.28515625" style="31" customWidth="1"/>
    <col min="13057" max="13057" width="14" style="31" customWidth="1"/>
    <col min="13058" max="13058" width="11.42578125" style="31" customWidth="1"/>
    <col min="13059" max="13059" width="21.7109375" style="31" customWidth="1"/>
    <col min="13060" max="13060" width="13.7109375" style="31" customWidth="1"/>
    <col min="13061" max="13061" width="14.85546875" style="31" customWidth="1"/>
    <col min="13062" max="13062" width="19.5703125" style="31" customWidth="1"/>
    <col min="13063" max="13063" width="13.7109375" style="31" customWidth="1"/>
    <col min="13064" max="13064" width="14.7109375" style="31" customWidth="1"/>
    <col min="13065" max="13066" width="14.140625" style="31" customWidth="1"/>
    <col min="13067" max="13067" width="15.140625" style="31" customWidth="1"/>
    <col min="13068" max="13068" width="21.5703125" style="31" customWidth="1"/>
    <col min="13069" max="13310" width="9.140625" style="31"/>
    <col min="13311" max="13311" width="6.5703125" style="31" customWidth="1"/>
    <col min="13312" max="13312" width="35.28515625" style="31" customWidth="1"/>
    <col min="13313" max="13313" width="14" style="31" customWidth="1"/>
    <col min="13314" max="13314" width="11.42578125" style="31" customWidth="1"/>
    <col min="13315" max="13315" width="21.7109375" style="31" customWidth="1"/>
    <col min="13316" max="13316" width="13.7109375" style="31" customWidth="1"/>
    <col min="13317" max="13317" width="14.85546875" style="31" customWidth="1"/>
    <col min="13318" max="13318" width="19.5703125" style="31" customWidth="1"/>
    <col min="13319" max="13319" width="13.7109375" style="31" customWidth="1"/>
    <col min="13320" max="13320" width="14.7109375" style="31" customWidth="1"/>
    <col min="13321" max="13322" width="14.140625" style="31" customWidth="1"/>
    <col min="13323" max="13323" width="15.140625" style="31" customWidth="1"/>
    <col min="13324" max="13324" width="21.5703125" style="31" customWidth="1"/>
    <col min="13325" max="13566" width="9.140625" style="31"/>
    <col min="13567" max="13567" width="6.5703125" style="31" customWidth="1"/>
    <col min="13568" max="13568" width="35.28515625" style="31" customWidth="1"/>
    <col min="13569" max="13569" width="14" style="31" customWidth="1"/>
    <col min="13570" max="13570" width="11.42578125" style="31" customWidth="1"/>
    <col min="13571" max="13571" width="21.7109375" style="31" customWidth="1"/>
    <col min="13572" max="13572" width="13.7109375" style="31" customWidth="1"/>
    <col min="13573" max="13573" width="14.85546875" style="31" customWidth="1"/>
    <col min="13574" max="13574" width="19.5703125" style="31" customWidth="1"/>
    <col min="13575" max="13575" width="13.7109375" style="31" customWidth="1"/>
    <col min="13576" max="13576" width="14.7109375" style="31" customWidth="1"/>
    <col min="13577" max="13578" width="14.140625" style="31" customWidth="1"/>
    <col min="13579" max="13579" width="15.140625" style="31" customWidth="1"/>
    <col min="13580" max="13580" width="21.5703125" style="31" customWidth="1"/>
    <col min="13581" max="13822" width="9.140625" style="31"/>
    <col min="13823" max="13823" width="6.5703125" style="31" customWidth="1"/>
    <col min="13824" max="13824" width="35.28515625" style="31" customWidth="1"/>
    <col min="13825" max="13825" width="14" style="31" customWidth="1"/>
    <col min="13826" max="13826" width="11.42578125" style="31" customWidth="1"/>
    <col min="13827" max="13827" width="21.7109375" style="31" customWidth="1"/>
    <col min="13828" max="13828" width="13.7109375" style="31" customWidth="1"/>
    <col min="13829" max="13829" width="14.85546875" style="31" customWidth="1"/>
    <col min="13830" max="13830" width="19.5703125" style="31" customWidth="1"/>
    <col min="13831" max="13831" width="13.7109375" style="31" customWidth="1"/>
    <col min="13832" max="13832" width="14.7109375" style="31" customWidth="1"/>
    <col min="13833" max="13834" width="14.140625" style="31" customWidth="1"/>
    <col min="13835" max="13835" width="15.140625" style="31" customWidth="1"/>
    <col min="13836" max="13836" width="21.5703125" style="31" customWidth="1"/>
    <col min="13837" max="14078" width="9.140625" style="31"/>
    <col min="14079" max="14079" width="6.5703125" style="31" customWidth="1"/>
    <col min="14080" max="14080" width="35.28515625" style="31" customWidth="1"/>
    <col min="14081" max="14081" width="14" style="31" customWidth="1"/>
    <col min="14082" max="14082" width="11.42578125" style="31" customWidth="1"/>
    <col min="14083" max="14083" width="21.7109375" style="31" customWidth="1"/>
    <col min="14084" max="14084" width="13.7109375" style="31" customWidth="1"/>
    <col min="14085" max="14085" width="14.85546875" style="31" customWidth="1"/>
    <col min="14086" max="14086" width="19.5703125" style="31" customWidth="1"/>
    <col min="14087" max="14087" width="13.7109375" style="31" customWidth="1"/>
    <col min="14088" max="14088" width="14.7109375" style="31" customWidth="1"/>
    <col min="14089" max="14090" width="14.140625" style="31" customWidth="1"/>
    <col min="14091" max="14091" width="15.140625" style="31" customWidth="1"/>
    <col min="14092" max="14092" width="21.5703125" style="31" customWidth="1"/>
    <col min="14093" max="14334" width="9.140625" style="31"/>
    <col min="14335" max="14335" width="6.5703125" style="31" customWidth="1"/>
    <col min="14336" max="14336" width="35.28515625" style="31" customWidth="1"/>
    <col min="14337" max="14337" width="14" style="31" customWidth="1"/>
    <col min="14338" max="14338" width="11.42578125" style="31" customWidth="1"/>
    <col min="14339" max="14339" width="21.7109375" style="31" customWidth="1"/>
    <col min="14340" max="14340" width="13.7109375" style="31" customWidth="1"/>
    <col min="14341" max="14341" width="14.85546875" style="31" customWidth="1"/>
    <col min="14342" max="14342" width="19.5703125" style="31" customWidth="1"/>
    <col min="14343" max="14343" width="13.7109375" style="31" customWidth="1"/>
    <col min="14344" max="14344" width="14.7109375" style="31" customWidth="1"/>
    <col min="14345" max="14346" width="14.140625" style="31" customWidth="1"/>
    <col min="14347" max="14347" width="15.140625" style="31" customWidth="1"/>
    <col min="14348" max="14348" width="21.5703125" style="31" customWidth="1"/>
    <col min="14349" max="14590" width="9.140625" style="31"/>
    <col min="14591" max="14591" width="6.5703125" style="31" customWidth="1"/>
    <col min="14592" max="14592" width="35.28515625" style="31" customWidth="1"/>
    <col min="14593" max="14593" width="14" style="31" customWidth="1"/>
    <col min="14594" max="14594" width="11.42578125" style="31" customWidth="1"/>
    <col min="14595" max="14595" width="21.7109375" style="31" customWidth="1"/>
    <col min="14596" max="14596" width="13.7109375" style="31" customWidth="1"/>
    <col min="14597" max="14597" width="14.85546875" style="31" customWidth="1"/>
    <col min="14598" max="14598" width="19.5703125" style="31" customWidth="1"/>
    <col min="14599" max="14599" width="13.7109375" style="31" customWidth="1"/>
    <col min="14600" max="14600" width="14.7109375" style="31" customWidth="1"/>
    <col min="14601" max="14602" width="14.140625" style="31" customWidth="1"/>
    <col min="14603" max="14603" width="15.140625" style="31" customWidth="1"/>
    <col min="14604" max="14604" width="21.5703125" style="31" customWidth="1"/>
    <col min="14605" max="14846" width="9.140625" style="31"/>
    <col min="14847" max="14847" width="6.5703125" style="31" customWidth="1"/>
    <col min="14848" max="14848" width="35.28515625" style="31" customWidth="1"/>
    <col min="14849" max="14849" width="14" style="31" customWidth="1"/>
    <col min="14850" max="14850" width="11.42578125" style="31" customWidth="1"/>
    <col min="14851" max="14851" width="21.7109375" style="31" customWidth="1"/>
    <col min="14852" max="14852" width="13.7109375" style="31" customWidth="1"/>
    <col min="14853" max="14853" width="14.85546875" style="31" customWidth="1"/>
    <col min="14854" max="14854" width="19.5703125" style="31" customWidth="1"/>
    <col min="14855" max="14855" width="13.7109375" style="31" customWidth="1"/>
    <col min="14856" max="14856" width="14.7109375" style="31" customWidth="1"/>
    <col min="14857" max="14858" width="14.140625" style="31" customWidth="1"/>
    <col min="14859" max="14859" width="15.140625" style="31" customWidth="1"/>
    <col min="14860" max="14860" width="21.5703125" style="31" customWidth="1"/>
    <col min="14861" max="15102" width="9.140625" style="31"/>
    <col min="15103" max="15103" width="6.5703125" style="31" customWidth="1"/>
    <col min="15104" max="15104" width="35.28515625" style="31" customWidth="1"/>
    <col min="15105" max="15105" width="14" style="31" customWidth="1"/>
    <col min="15106" max="15106" width="11.42578125" style="31" customWidth="1"/>
    <col min="15107" max="15107" width="21.7109375" style="31" customWidth="1"/>
    <col min="15108" max="15108" width="13.7109375" style="31" customWidth="1"/>
    <col min="15109" max="15109" width="14.85546875" style="31" customWidth="1"/>
    <col min="15110" max="15110" width="19.5703125" style="31" customWidth="1"/>
    <col min="15111" max="15111" width="13.7109375" style="31" customWidth="1"/>
    <col min="15112" max="15112" width="14.7109375" style="31" customWidth="1"/>
    <col min="15113" max="15114" width="14.140625" style="31" customWidth="1"/>
    <col min="15115" max="15115" width="15.140625" style="31" customWidth="1"/>
    <col min="15116" max="15116" width="21.5703125" style="31" customWidth="1"/>
    <col min="15117" max="15358" width="9.140625" style="31"/>
    <col min="15359" max="15359" width="6.5703125" style="31" customWidth="1"/>
    <col min="15360" max="15360" width="35.28515625" style="31" customWidth="1"/>
    <col min="15361" max="15361" width="14" style="31" customWidth="1"/>
    <col min="15362" max="15362" width="11.42578125" style="31" customWidth="1"/>
    <col min="15363" max="15363" width="21.7109375" style="31" customWidth="1"/>
    <col min="15364" max="15364" width="13.7109375" style="31" customWidth="1"/>
    <col min="15365" max="15365" width="14.85546875" style="31" customWidth="1"/>
    <col min="15366" max="15366" width="19.5703125" style="31" customWidth="1"/>
    <col min="15367" max="15367" width="13.7109375" style="31" customWidth="1"/>
    <col min="15368" max="15368" width="14.7109375" style="31" customWidth="1"/>
    <col min="15369" max="15370" width="14.140625" style="31" customWidth="1"/>
    <col min="15371" max="15371" width="15.140625" style="31" customWidth="1"/>
    <col min="15372" max="15372" width="21.5703125" style="31" customWidth="1"/>
    <col min="15373" max="15614" width="9.140625" style="31"/>
    <col min="15615" max="15615" width="6.5703125" style="31" customWidth="1"/>
    <col min="15616" max="15616" width="35.28515625" style="31" customWidth="1"/>
    <col min="15617" max="15617" width="14" style="31" customWidth="1"/>
    <col min="15618" max="15618" width="11.42578125" style="31" customWidth="1"/>
    <col min="15619" max="15619" width="21.7109375" style="31" customWidth="1"/>
    <col min="15620" max="15620" width="13.7109375" style="31" customWidth="1"/>
    <col min="15621" max="15621" width="14.85546875" style="31" customWidth="1"/>
    <col min="15622" max="15622" width="19.5703125" style="31" customWidth="1"/>
    <col min="15623" max="15623" width="13.7109375" style="31" customWidth="1"/>
    <col min="15624" max="15624" width="14.7109375" style="31" customWidth="1"/>
    <col min="15625" max="15626" width="14.140625" style="31" customWidth="1"/>
    <col min="15627" max="15627" width="15.140625" style="31" customWidth="1"/>
    <col min="15628" max="15628" width="21.5703125" style="31" customWidth="1"/>
    <col min="15629" max="15870" width="9.140625" style="31"/>
    <col min="15871" max="15871" width="6.5703125" style="31" customWidth="1"/>
    <col min="15872" max="15872" width="35.28515625" style="31" customWidth="1"/>
    <col min="15873" max="15873" width="14" style="31" customWidth="1"/>
    <col min="15874" max="15874" width="11.42578125" style="31" customWidth="1"/>
    <col min="15875" max="15875" width="21.7109375" style="31" customWidth="1"/>
    <col min="15876" max="15876" width="13.7109375" style="31" customWidth="1"/>
    <col min="15877" max="15877" width="14.85546875" style="31" customWidth="1"/>
    <col min="15878" max="15878" width="19.5703125" style="31" customWidth="1"/>
    <col min="15879" max="15879" width="13.7109375" style="31" customWidth="1"/>
    <col min="15880" max="15880" width="14.7109375" style="31" customWidth="1"/>
    <col min="15881" max="15882" width="14.140625" style="31" customWidth="1"/>
    <col min="15883" max="15883" width="15.140625" style="31" customWidth="1"/>
    <col min="15884" max="15884" width="21.5703125" style="31" customWidth="1"/>
    <col min="15885" max="16126" width="9.140625" style="31"/>
    <col min="16127" max="16127" width="6.5703125" style="31" customWidth="1"/>
    <col min="16128" max="16128" width="35.28515625" style="31" customWidth="1"/>
    <col min="16129" max="16129" width="14" style="31" customWidth="1"/>
    <col min="16130" max="16130" width="11.42578125" style="31" customWidth="1"/>
    <col min="16131" max="16131" width="21.7109375" style="31" customWidth="1"/>
    <col min="16132" max="16132" width="13.7109375" style="31" customWidth="1"/>
    <col min="16133" max="16133" width="14.85546875" style="31" customWidth="1"/>
    <col min="16134" max="16134" width="19.5703125" style="31" customWidth="1"/>
    <col min="16135" max="16135" width="13.7109375" style="31" customWidth="1"/>
    <col min="16136" max="16136" width="14.7109375" style="31" customWidth="1"/>
    <col min="16137" max="16138" width="14.140625" style="31" customWidth="1"/>
    <col min="16139" max="16139" width="15.140625" style="31" customWidth="1"/>
    <col min="16140" max="16140" width="21.5703125" style="31" customWidth="1"/>
    <col min="16141" max="16384" width="9.140625" style="31"/>
  </cols>
  <sheetData>
    <row r="1" spans="1:13" ht="49.5" customHeight="1" x14ac:dyDescent="0.25">
      <c r="A1" s="199" t="str">
        <f>'Подпрограмма 2'!A1:O1</f>
        <v>Отчет об использовании денежных средств в рамках исполнения мероприятий подпрограммы 2 "Развитие транспортной инфраструктуры поселений муниципального района "Заполярный район"
муниципальной программы "Комплексное развитие поселений муниципального района "Заполярный район" на 2017-2019 годы"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24" customHeight="1" x14ac:dyDescent="0.25">
      <c r="A2" s="199" t="str">
        <f>'Подпрограмма 1'!A2:O2</f>
        <v>по состоянию на 01 января 2018  года (с начала года нарастающим итогом)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</row>
    <row r="3" spans="1:13" ht="40.5" customHeight="1" x14ac:dyDescent="0.25">
      <c r="A3" s="193" t="s">
        <v>236</v>
      </c>
      <c r="B3" s="193" t="s">
        <v>237</v>
      </c>
      <c r="C3" s="200" t="s">
        <v>238</v>
      </c>
      <c r="D3" s="201"/>
      <c r="E3" s="193" t="s">
        <v>239</v>
      </c>
      <c r="F3" s="193" t="s">
        <v>240</v>
      </c>
      <c r="G3" s="193" t="s">
        <v>241</v>
      </c>
      <c r="H3" s="193" t="s">
        <v>242</v>
      </c>
      <c r="I3" s="194" t="s">
        <v>491</v>
      </c>
      <c r="J3" s="194" t="s">
        <v>244</v>
      </c>
      <c r="K3" s="193" t="s">
        <v>245</v>
      </c>
      <c r="L3" s="193"/>
      <c r="M3" s="193"/>
    </row>
    <row r="4" spans="1:13" ht="15" customHeight="1" x14ac:dyDescent="0.25">
      <c r="A4" s="193"/>
      <c r="B4" s="193"/>
      <c r="C4" s="194" t="s">
        <v>246</v>
      </c>
      <c r="D4" s="194" t="s">
        <v>247</v>
      </c>
      <c r="E4" s="193"/>
      <c r="F4" s="193"/>
      <c r="G4" s="193"/>
      <c r="H4" s="193"/>
      <c r="I4" s="202"/>
      <c r="J4" s="202"/>
      <c r="K4" s="193" t="s">
        <v>248</v>
      </c>
      <c r="L4" s="194" t="s">
        <v>249</v>
      </c>
      <c r="M4" s="193" t="s">
        <v>250</v>
      </c>
    </row>
    <row r="5" spans="1:13" ht="31.5" customHeight="1" x14ac:dyDescent="0.25">
      <c r="A5" s="193"/>
      <c r="B5" s="193"/>
      <c r="C5" s="195"/>
      <c r="D5" s="195"/>
      <c r="E5" s="193"/>
      <c r="F5" s="193"/>
      <c r="G5" s="193"/>
      <c r="H5" s="193"/>
      <c r="I5" s="195"/>
      <c r="J5" s="195"/>
      <c r="K5" s="193"/>
      <c r="L5" s="195"/>
      <c r="M5" s="193"/>
    </row>
    <row r="6" spans="1:13" x14ac:dyDescent="0.25">
      <c r="A6" s="32">
        <v>1</v>
      </c>
      <c r="B6" s="32">
        <v>2</v>
      </c>
      <c r="C6" s="32">
        <f>B6+1</f>
        <v>3</v>
      </c>
      <c r="D6" s="32">
        <f t="shared" ref="D6:K6" si="0">C6+1</f>
        <v>4</v>
      </c>
      <c r="E6" s="32">
        <f t="shared" si="0"/>
        <v>5</v>
      </c>
      <c r="F6" s="32">
        <f t="shared" si="0"/>
        <v>6</v>
      </c>
      <c r="G6" s="32">
        <f t="shared" si="0"/>
        <v>7</v>
      </c>
      <c r="H6" s="32">
        <f t="shared" si="0"/>
        <v>8</v>
      </c>
      <c r="I6" s="32">
        <f t="shared" si="0"/>
        <v>9</v>
      </c>
      <c r="J6" s="32">
        <f t="shared" si="0"/>
        <v>10</v>
      </c>
      <c r="K6" s="32">
        <f t="shared" si="0"/>
        <v>11</v>
      </c>
      <c r="L6" s="32">
        <v>12</v>
      </c>
      <c r="M6" s="32">
        <v>13</v>
      </c>
    </row>
    <row r="7" spans="1:13" s="40" customFormat="1" ht="38.25" customHeight="1" x14ac:dyDescent="0.25">
      <c r="A7" s="36">
        <v>1</v>
      </c>
      <c r="B7" s="52" t="s">
        <v>100</v>
      </c>
      <c r="C7" s="53"/>
      <c r="D7" s="53"/>
      <c r="E7" s="36" t="s">
        <v>473</v>
      </c>
      <c r="F7" s="36" t="s">
        <v>416</v>
      </c>
      <c r="G7" s="36" t="s">
        <v>3</v>
      </c>
      <c r="H7" s="37">
        <v>42967</v>
      </c>
      <c r="I7" s="38">
        <v>13133.33</v>
      </c>
      <c r="J7" s="38"/>
      <c r="K7" s="39">
        <f>M7</f>
        <v>13133.33</v>
      </c>
      <c r="L7" s="39"/>
      <c r="M7" s="36">
        <f>'Подпрограмма 2'!H43</f>
        <v>13133.33</v>
      </c>
    </row>
    <row r="8" spans="1:13" ht="66" customHeight="1" x14ac:dyDescent="0.25">
      <c r="A8" s="36">
        <v>2</v>
      </c>
      <c r="B8" s="52" t="str">
        <f>'Подпрограмма 2'!B44</f>
        <v>Приобретение и доставка двух мобильных зданий контейнерного типа в с. Нижняя Пеша (помещения ожидания воздушных судов)</v>
      </c>
      <c r="C8" s="42">
        <v>42867</v>
      </c>
      <c r="D8" s="42">
        <v>42886</v>
      </c>
      <c r="E8" s="36" t="s">
        <v>311</v>
      </c>
      <c r="F8" s="36" t="s">
        <v>309</v>
      </c>
      <c r="G8" s="36" t="s">
        <v>310</v>
      </c>
      <c r="H8" s="37">
        <v>42947</v>
      </c>
      <c r="I8" s="54">
        <v>1149.125</v>
      </c>
      <c r="J8" s="38"/>
      <c r="K8" s="39">
        <f t="shared" ref="K8:K15" si="1">M8</f>
        <v>1220.2</v>
      </c>
      <c r="L8" s="39"/>
      <c r="M8" s="36">
        <f>'Подпрограмма 2'!H44</f>
        <v>1220.2</v>
      </c>
    </row>
    <row r="9" spans="1:13" ht="66" customHeight="1" x14ac:dyDescent="0.25">
      <c r="A9" s="36">
        <v>3</v>
      </c>
      <c r="B9" s="52" t="str">
        <f>'Подпрограмма 2'!B45</f>
        <v>Приобретение и доставка двигателя для СВП "Нептун 23"</v>
      </c>
      <c r="C9" s="42">
        <v>42908</v>
      </c>
      <c r="D9" s="42">
        <v>42922</v>
      </c>
      <c r="E9" s="36" t="s">
        <v>415</v>
      </c>
      <c r="F9" s="36" t="s">
        <v>416</v>
      </c>
      <c r="G9" s="36" t="s">
        <v>3</v>
      </c>
      <c r="H9" s="64">
        <v>42996</v>
      </c>
      <c r="I9" s="54">
        <v>450</v>
      </c>
      <c r="J9" s="38"/>
      <c r="K9" s="39">
        <f t="shared" si="1"/>
        <v>450</v>
      </c>
      <c r="L9" s="39"/>
      <c r="M9" s="36">
        <f>'Подпрограмма 2'!H45</f>
        <v>450</v>
      </c>
    </row>
    <row r="10" spans="1:13" ht="110.25" x14ac:dyDescent="0.25">
      <c r="A10" s="36">
        <v>4</v>
      </c>
      <c r="B10" s="52" t="str">
        <f>'Подпрограмма 2'!B46</f>
        <v>Приобретение и доставка мобильного здания контейнерного типа с санями-волокушами в д. Чижа МО «Канинский сельсовет» НАО (помещения ожидания воздушных судов)</v>
      </c>
      <c r="C10" s="42">
        <v>42958</v>
      </c>
      <c r="D10" s="42">
        <v>42972</v>
      </c>
      <c r="E10" s="36" t="s">
        <v>417</v>
      </c>
      <c r="F10" s="36" t="s">
        <v>413</v>
      </c>
      <c r="G10" s="36" t="s">
        <v>310</v>
      </c>
      <c r="H10" s="108">
        <v>43039</v>
      </c>
      <c r="I10" s="54">
        <v>1178.9000000000001</v>
      </c>
      <c r="J10" s="38"/>
      <c r="K10" s="39">
        <f t="shared" si="1"/>
        <v>1178.9000000000001</v>
      </c>
      <c r="L10" s="39"/>
      <c r="M10" s="36">
        <f>'Подпрограмма 2'!H46</f>
        <v>1178.9000000000001</v>
      </c>
    </row>
    <row r="11" spans="1:13" ht="94.5" x14ac:dyDescent="0.25">
      <c r="A11" s="41">
        <v>5</v>
      </c>
      <c r="B11" s="52" t="str">
        <f>'Подпрограмма 2'!B47</f>
        <v>Приобретение и доставка мобильного здания контейнерного типа в с. Шойна МО Шоинский сельсовет» НАО (помещения ожидания воздушных судов)</v>
      </c>
      <c r="C11" s="42"/>
      <c r="D11" s="42"/>
      <c r="E11" s="36" t="s">
        <v>418</v>
      </c>
      <c r="F11" s="36" t="s">
        <v>419</v>
      </c>
      <c r="G11" s="36" t="s">
        <v>310</v>
      </c>
      <c r="H11" s="108">
        <v>43025</v>
      </c>
      <c r="I11" s="54">
        <v>1154.9000000000001</v>
      </c>
      <c r="J11" s="38"/>
      <c r="K11" s="39">
        <f t="shared" si="1"/>
        <v>1154.9000000000001</v>
      </c>
      <c r="L11" s="39"/>
      <c r="M11" s="36">
        <f>'Подпрограмма 2'!H47</f>
        <v>1154.9000000000001</v>
      </c>
    </row>
    <row r="12" spans="1:13" ht="94.5" x14ac:dyDescent="0.25">
      <c r="A12" s="41">
        <v>6</v>
      </c>
      <c r="B12" s="52" t="str">
        <f>'Подпрограмма 2'!B48</f>
        <v>Приобретение и доставка двух мобильных зданий контейнерного типа в п. Усть-Кара МО "Карский сельсовет" НАО (помещение ожидания воздушных судов)</v>
      </c>
      <c r="C12" s="42"/>
      <c r="D12" s="42"/>
      <c r="E12" s="36" t="s">
        <v>19</v>
      </c>
      <c r="F12" s="36" t="s">
        <v>19</v>
      </c>
      <c r="G12" s="36" t="s">
        <v>19</v>
      </c>
      <c r="H12" s="36" t="s">
        <v>19</v>
      </c>
      <c r="I12" s="36" t="s">
        <v>19</v>
      </c>
      <c r="J12" s="36" t="s">
        <v>19</v>
      </c>
      <c r="K12" s="39" t="str">
        <f t="shared" si="1"/>
        <v>-</v>
      </c>
      <c r="L12" s="36" t="s">
        <v>19</v>
      </c>
      <c r="M12" s="36" t="s">
        <v>19</v>
      </c>
    </row>
    <row r="13" spans="1:13" ht="36.75" customHeight="1" x14ac:dyDescent="0.25">
      <c r="A13" s="41">
        <v>7</v>
      </c>
      <c r="B13" s="115" t="str">
        <f>'Подпрограмма 2'!B63</f>
        <v>Капитальный ремонт здания аэропорта в п. Харута</v>
      </c>
      <c r="C13" s="42">
        <v>42817</v>
      </c>
      <c r="D13" s="42">
        <v>42839</v>
      </c>
      <c r="E13" s="36" t="s">
        <v>308</v>
      </c>
      <c r="F13" s="36" t="s">
        <v>267</v>
      </c>
      <c r="G13" s="36" t="s">
        <v>310</v>
      </c>
      <c r="H13" s="108">
        <v>43069</v>
      </c>
      <c r="I13" s="54">
        <v>3451.57</v>
      </c>
      <c r="J13" s="38"/>
      <c r="K13" s="39">
        <f t="shared" si="1"/>
        <v>3744.47</v>
      </c>
      <c r="L13" s="39"/>
      <c r="M13" s="36">
        <f>'Подпрограмма 2'!H63</f>
        <v>3744.47</v>
      </c>
    </row>
    <row r="14" spans="1:13" ht="63" x14ac:dyDescent="0.25">
      <c r="A14" s="45">
        <v>8</v>
      </c>
      <c r="B14" s="115" t="str">
        <f>'Подпрограмма 2'!B64</f>
        <v>Обустройство осушительной канавы на взлетно-посадочной полосе в д. Чижа МО «Канинский сельсовет» НАО</v>
      </c>
      <c r="C14" s="42"/>
      <c r="D14" s="42"/>
      <c r="E14" s="36" t="s">
        <v>380</v>
      </c>
      <c r="F14" s="36" t="s">
        <v>19</v>
      </c>
      <c r="G14" s="36" t="s">
        <v>310</v>
      </c>
      <c r="H14" s="108" t="s">
        <v>19</v>
      </c>
      <c r="I14" s="54">
        <v>99.1</v>
      </c>
      <c r="J14" s="38"/>
      <c r="K14" s="39">
        <f t="shared" si="1"/>
        <v>99.138000000000005</v>
      </c>
      <c r="L14" s="39"/>
      <c r="M14" s="56">
        <f>'Подпрограмма 2'!H64</f>
        <v>99.138000000000005</v>
      </c>
    </row>
    <row r="15" spans="1:13" ht="78.75" x14ac:dyDescent="0.25">
      <c r="A15" s="45">
        <v>9</v>
      </c>
      <c r="B15" s="115" t="str">
        <f>'Подпрограмма 2'!B65</f>
        <v>Текущий ремонт участка дороги «п. Нельмин-Нос – Вертолётная площадка – Площадка размещения отходов в п. Нельмин-Нос» протяженностью 386 м.</v>
      </c>
      <c r="C15" s="42"/>
      <c r="D15" s="42"/>
      <c r="E15" s="36" t="s">
        <v>380</v>
      </c>
      <c r="F15" s="36" t="s">
        <v>19</v>
      </c>
      <c r="G15" s="36" t="s">
        <v>310</v>
      </c>
      <c r="H15" s="155" t="s">
        <v>19</v>
      </c>
      <c r="I15" s="54">
        <v>1583.7</v>
      </c>
      <c r="J15" s="38"/>
      <c r="K15" s="39">
        <f t="shared" si="1"/>
        <v>1583.7</v>
      </c>
      <c r="L15" s="39"/>
      <c r="M15" s="36">
        <f>'Подпрограмма 2'!H65</f>
        <v>1583.7</v>
      </c>
    </row>
    <row r="16" spans="1:13" ht="47.25" x14ac:dyDescent="0.25">
      <c r="A16" s="45">
        <v>10</v>
      </c>
      <c r="B16" s="115" t="str">
        <f>'Подпрограмма 2'!B72</f>
        <v>Строительство улично-дорожной сети микрорайона Факел поселка Искателей</v>
      </c>
      <c r="C16" s="42"/>
      <c r="D16" s="42"/>
      <c r="E16" s="161" t="s">
        <v>420</v>
      </c>
      <c r="F16" s="161" t="s">
        <v>421</v>
      </c>
      <c r="G16" s="162" t="s">
        <v>144</v>
      </c>
      <c r="H16" s="163">
        <v>43023</v>
      </c>
      <c r="I16" s="164">
        <v>146131.97</v>
      </c>
      <c r="J16" s="38">
        <v>29147.599999999999</v>
      </c>
      <c r="K16" s="39">
        <f>139891.8+M16</f>
        <v>146132.00999999998</v>
      </c>
      <c r="L16" s="39"/>
      <c r="M16" s="36">
        <f>'Подпрограмма 2'!H72</f>
        <v>6240.21</v>
      </c>
    </row>
    <row r="17" spans="1:13" ht="15" customHeight="1" x14ac:dyDescent="0.25">
      <c r="A17" s="196" t="s">
        <v>259</v>
      </c>
      <c r="B17" s="197"/>
      <c r="C17" s="197"/>
      <c r="D17" s="197"/>
      <c r="E17" s="197"/>
      <c r="F17" s="197"/>
      <c r="G17" s="197"/>
      <c r="H17" s="197"/>
      <c r="I17" s="198"/>
      <c r="J17" s="44">
        <f>SUM(J7:J16)</f>
        <v>29147.599999999999</v>
      </c>
      <c r="K17" s="44">
        <f>SUM(K7:K16)</f>
        <v>168696.64799999999</v>
      </c>
      <c r="L17" s="44">
        <f>SUM(L7:L16)</f>
        <v>0</v>
      </c>
      <c r="M17" s="44">
        <f>SUM(M7:M16)</f>
        <v>28804.848000000002</v>
      </c>
    </row>
  </sheetData>
  <mergeCells count="18">
    <mergeCell ref="C4:C5"/>
    <mergeCell ref="D4:D5"/>
    <mergeCell ref="K4:K5"/>
    <mergeCell ref="L4:L5"/>
    <mergeCell ref="M4:M5"/>
    <mergeCell ref="A17:I17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</mergeCells>
  <pageMargins left="0.15748031496062992" right="0.15748031496062992" top="0.23622047244094491" bottom="0.31496062992125984" header="0.94488188976377963" footer="0.31496062992125984"/>
  <pageSetup paperSize="9"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13"/>
  <sheetViews>
    <sheetView view="pageBreakPreview" topLeftCell="A4" zoomScale="80" zoomScaleNormal="90" zoomScaleSheetLayoutView="80" workbookViewId="0">
      <selection activeCell="N13" sqref="N13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5.140625" style="1" customWidth="1"/>
    <col min="5" max="5" width="16.85546875" style="1" customWidth="1"/>
    <col min="6" max="7" width="16.85546875" style="1" hidden="1" customWidth="1"/>
    <col min="8" max="9" width="16.85546875" style="1" customWidth="1"/>
    <col min="10" max="10" width="14.85546875" style="1" customWidth="1"/>
    <col min="11" max="11" width="16.140625" style="1" hidden="1" customWidth="1"/>
    <col min="12" max="12" width="15.28515625" style="1" hidden="1" customWidth="1"/>
    <col min="13" max="14" width="16.42578125" style="1" customWidth="1"/>
    <col min="15" max="15" width="15.140625" style="1" customWidth="1"/>
    <col min="16" max="16" width="14" style="1" hidden="1" customWidth="1"/>
    <col min="17" max="17" width="0.85546875" style="1" hidden="1" customWidth="1"/>
    <col min="18" max="19" width="16.85546875" style="1" customWidth="1"/>
    <col min="20" max="20" width="27.42578125" style="1" customWidth="1"/>
    <col min="21" max="21" width="26.140625" style="1" customWidth="1"/>
    <col min="22" max="16384" width="9.140625" style="1"/>
  </cols>
  <sheetData>
    <row r="1" spans="1:21" ht="51" customHeight="1" x14ac:dyDescent="0.25">
      <c r="A1" s="206" t="s">
        <v>52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</row>
    <row r="2" spans="1:21" ht="18.75" customHeight="1" x14ac:dyDescent="0.25">
      <c r="A2" s="207" t="s">
        <v>430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8"/>
    </row>
    <row r="3" spans="1:21" s="2" customFormat="1" ht="24.75" customHeight="1" x14ac:dyDescent="0.25">
      <c r="A3" s="178" t="s">
        <v>22</v>
      </c>
      <c r="B3" s="178" t="s">
        <v>20</v>
      </c>
      <c r="C3" s="178" t="s">
        <v>7</v>
      </c>
      <c r="D3" s="178" t="s">
        <v>21</v>
      </c>
      <c r="E3" s="190" t="s">
        <v>51</v>
      </c>
      <c r="F3" s="191"/>
      <c r="G3" s="191"/>
      <c r="H3" s="191"/>
      <c r="I3" s="192"/>
      <c r="J3" s="190" t="s">
        <v>8</v>
      </c>
      <c r="K3" s="191"/>
      <c r="L3" s="191"/>
      <c r="M3" s="191"/>
      <c r="N3" s="209"/>
      <c r="O3" s="190" t="s">
        <v>9</v>
      </c>
      <c r="P3" s="191"/>
      <c r="Q3" s="191"/>
      <c r="R3" s="191"/>
      <c r="S3" s="209"/>
      <c r="T3" s="178" t="s">
        <v>459</v>
      </c>
      <c r="U3" s="178" t="s">
        <v>460</v>
      </c>
    </row>
    <row r="4" spans="1:21" s="2" customFormat="1" ht="75.75" customHeight="1" x14ac:dyDescent="0.25">
      <c r="A4" s="178"/>
      <c r="B4" s="178"/>
      <c r="C4" s="178"/>
      <c r="D4" s="178"/>
      <c r="E4" s="135" t="s">
        <v>1</v>
      </c>
      <c r="F4" s="135" t="s">
        <v>18</v>
      </c>
      <c r="G4" s="135" t="s">
        <v>10</v>
      </c>
      <c r="H4" s="135" t="s">
        <v>11</v>
      </c>
      <c r="I4" s="135" t="s">
        <v>439</v>
      </c>
      <c r="J4" s="135" t="s">
        <v>1</v>
      </c>
      <c r="K4" s="135" t="s">
        <v>18</v>
      </c>
      <c r="L4" s="135" t="s">
        <v>10</v>
      </c>
      <c r="M4" s="135" t="s">
        <v>11</v>
      </c>
      <c r="N4" s="135" t="s">
        <v>439</v>
      </c>
      <c r="O4" s="135" t="s">
        <v>1</v>
      </c>
      <c r="P4" s="135" t="s">
        <v>18</v>
      </c>
      <c r="Q4" s="135" t="s">
        <v>10</v>
      </c>
      <c r="R4" s="135" t="s">
        <v>11</v>
      </c>
      <c r="S4" s="135" t="s">
        <v>439</v>
      </c>
      <c r="T4" s="178"/>
      <c r="U4" s="178"/>
    </row>
    <row r="5" spans="1:21" s="2" customFormat="1" ht="22.5" customHeight="1" x14ac:dyDescent="0.25">
      <c r="A5" s="135">
        <v>1</v>
      </c>
      <c r="B5" s="135">
        <v>2</v>
      </c>
      <c r="C5" s="135">
        <v>3</v>
      </c>
      <c r="D5" s="135">
        <v>4</v>
      </c>
      <c r="E5" s="135">
        <v>5</v>
      </c>
      <c r="F5" s="135"/>
      <c r="G5" s="135"/>
      <c r="H5" s="135">
        <v>6</v>
      </c>
      <c r="I5" s="135">
        <v>7</v>
      </c>
      <c r="J5" s="135">
        <v>8</v>
      </c>
      <c r="K5" s="135"/>
      <c r="L5" s="135"/>
      <c r="M5" s="135">
        <v>9</v>
      </c>
      <c r="N5" s="135">
        <v>10</v>
      </c>
      <c r="O5" s="135">
        <v>11</v>
      </c>
      <c r="P5" s="135"/>
      <c r="Q5" s="135"/>
      <c r="R5" s="135">
        <v>12</v>
      </c>
      <c r="S5" s="135">
        <v>13</v>
      </c>
      <c r="T5" s="135">
        <v>14</v>
      </c>
      <c r="U5" s="135">
        <v>15</v>
      </c>
    </row>
    <row r="6" spans="1:21" s="2" customFormat="1" ht="21.75" customHeight="1" x14ac:dyDescent="0.25">
      <c r="A6" s="135"/>
      <c r="B6" s="178" t="s">
        <v>53</v>
      </c>
      <c r="C6" s="178"/>
      <c r="D6" s="178"/>
      <c r="E6" s="6">
        <f>SUM(E7:E7)</f>
        <v>2783.06</v>
      </c>
      <c r="F6" s="6">
        <v>0</v>
      </c>
      <c r="G6" s="6">
        <f>SUM(G7:G7)</f>
        <v>0</v>
      </c>
      <c r="H6" s="6">
        <f>SUM(H7:H7)</f>
        <v>2783.06</v>
      </c>
      <c r="I6" s="6">
        <f>SUM(I7:I7)</f>
        <v>0</v>
      </c>
      <c r="J6" s="6">
        <f t="shared" ref="J6:R6" si="0">SUM(J7:J7)</f>
        <v>1960.0099999999998</v>
      </c>
      <c r="K6" s="6">
        <f t="shared" si="0"/>
        <v>0</v>
      </c>
      <c r="L6" s="6">
        <f t="shared" si="0"/>
        <v>0</v>
      </c>
      <c r="M6" s="6">
        <f t="shared" si="0"/>
        <v>1960.0099999999998</v>
      </c>
      <c r="N6" s="6">
        <f>SUM(N7:N7)</f>
        <v>0</v>
      </c>
      <c r="O6" s="6">
        <f t="shared" si="0"/>
        <v>1960.0099999999998</v>
      </c>
      <c r="P6" s="6">
        <f t="shared" si="0"/>
        <v>0</v>
      </c>
      <c r="Q6" s="6">
        <f t="shared" si="0"/>
        <v>0</v>
      </c>
      <c r="R6" s="6">
        <f t="shared" si="0"/>
        <v>1960.0099999999998</v>
      </c>
      <c r="S6" s="6">
        <f>SUM(S7:S7)</f>
        <v>0</v>
      </c>
      <c r="T6" s="139">
        <f>J6/E6</f>
        <v>0.70426437087234905</v>
      </c>
      <c r="U6" s="139">
        <f>O6/E6</f>
        <v>0.70426437087234905</v>
      </c>
    </row>
    <row r="7" spans="1:21" s="2" customFormat="1" ht="167.25" customHeight="1" x14ac:dyDescent="0.25">
      <c r="A7" s="4" t="s">
        <v>12</v>
      </c>
      <c r="B7" s="142" t="s">
        <v>54</v>
      </c>
      <c r="C7" s="143" t="s">
        <v>39</v>
      </c>
      <c r="D7" s="143" t="s">
        <v>39</v>
      </c>
      <c r="E7" s="3">
        <f>H7</f>
        <v>2783.06</v>
      </c>
      <c r="F7" s="3"/>
      <c r="G7" s="3"/>
      <c r="H7" s="3">
        <f>1597.7+1185.36</f>
        <v>2783.06</v>
      </c>
      <c r="I7" s="3" t="s">
        <v>19</v>
      </c>
      <c r="J7" s="3">
        <f>M7</f>
        <v>1960.0099999999998</v>
      </c>
      <c r="K7" s="3"/>
      <c r="L7" s="3"/>
      <c r="M7" s="3">
        <f>1185.36+774.65</f>
        <v>1960.0099999999998</v>
      </c>
      <c r="N7" s="3" t="s">
        <v>19</v>
      </c>
      <c r="O7" s="3">
        <f>R7</f>
        <v>1960.0099999999998</v>
      </c>
      <c r="P7" s="3"/>
      <c r="Q7" s="3"/>
      <c r="R7" s="3">
        <f>M7</f>
        <v>1960.0099999999998</v>
      </c>
      <c r="S7" s="3" t="s">
        <v>19</v>
      </c>
      <c r="T7" s="13">
        <f t="shared" ref="T7:T11" si="1">J7/E7</f>
        <v>0.70426437087234905</v>
      </c>
      <c r="U7" s="13">
        <f t="shared" ref="U7:U11" si="2">O7/E7</f>
        <v>0.70426437087234905</v>
      </c>
    </row>
    <row r="8" spans="1:21" s="2" customFormat="1" ht="31.5" customHeight="1" x14ac:dyDescent="0.25">
      <c r="A8" s="7"/>
      <c r="B8" s="178" t="s">
        <v>55</v>
      </c>
      <c r="C8" s="178"/>
      <c r="D8" s="178"/>
      <c r="E8" s="6">
        <f>SUM(E9:E12)</f>
        <v>41777.000000000007</v>
      </c>
      <c r="F8" s="6">
        <f t="shared" ref="F8:S8" si="3">SUM(F9:F12)</f>
        <v>0</v>
      </c>
      <c r="G8" s="6">
        <f t="shared" si="3"/>
        <v>0</v>
      </c>
      <c r="H8" s="6">
        <f t="shared" si="3"/>
        <v>41696.700000000004</v>
      </c>
      <c r="I8" s="6">
        <f t="shared" si="3"/>
        <v>80.300000000000011</v>
      </c>
      <c r="J8" s="6">
        <f t="shared" si="3"/>
        <v>14742.34</v>
      </c>
      <c r="K8" s="6">
        <f t="shared" si="3"/>
        <v>0</v>
      </c>
      <c r="L8" s="6">
        <f t="shared" si="3"/>
        <v>0</v>
      </c>
      <c r="M8" s="6">
        <f t="shared" si="3"/>
        <v>14715.64</v>
      </c>
      <c r="N8" s="6">
        <f t="shared" si="3"/>
        <v>26.700000000000003</v>
      </c>
      <c r="O8" s="6">
        <f t="shared" si="3"/>
        <v>14742.34</v>
      </c>
      <c r="P8" s="6">
        <f t="shared" si="3"/>
        <v>0</v>
      </c>
      <c r="Q8" s="6">
        <f t="shared" si="3"/>
        <v>0</v>
      </c>
      <c r="R8" s="6">
        <f t="shared" si="3"/>
        <v>14715.64</v>
      </c>
      <c r="S8" s="6">
        <f t="shared" si="3"/>
        <v>26.700000000000003</v>
      </c>
      <c r="T8" s="139">
        <f t="shared" si="1"/>
        <v>0.35288172918112831</v>
      </c>
      <c r="U8" s="139">
        <f t="shared" si="2"/>
        <v>0.35288172918112831</v>
      </c>
    </row>
    <row r="9" spans="1:21" s="2" customFormat="1" ht="57" customHeight="1" x14ac:dyDescent="0.25">
      <c r="A9" s="4" t="s">
        <v>59</v>
      </c>
      <c r="B9" s="144" t="s">
        <v>56</v>
      </c>
      <c r="C9" s="143" t="s">
        <v>39</v>
      </c>
      <c r="D9" s="143" t="s">
        <v>3</v>
      </c>
      <c r="E9" s="3">
        <f t="shared" ref="E9" si="4">H9</f>
        <v>33748.800000000003</v>
      </c>
      <c r="F9" s="3"/>
      <c r="G9" s="3"/>
      <c r="H9" s="3">
        <v>33748.800000000003</v>
      </c>
      <c r="I9" s="3" t="s">
        <v>19</v>
      </c>
      <c r="J9" s="3">
        <f t="shared" ref="J9" si="5">M9</f>
        <v>12075.9</v>
      </c>
      <c r="K9" s="3"/>
      <c r="L9" s="3"/>
      <c r="M9" s="3">
        <v>12075.9</v>
      </c>
      <c r="N9" s="3" t="s">
        <v>19</v>
      </c>
      <c r="O9" s="3">
        <f t="shared" ref="O9" si="6">R9</f>
        <v>12075.9</v>
      </c>
      <c r="P9" s="3"/>
      <c r="Q9" s="3"/>
      <c r="R9" s="3">
        <v>12075.9</v>
      </c>
      <c r="S9" s="3" t="s">
        <v>19</v>
      </c>
      <c r="T9" s="13">
        <f t="shared" si="1"/>
        <v>0.35781716683259845</v>
      </c>
      <c r="U9" s="13">
        <f t="shared" si="2"/>
        <v>0.35781716683259845</v>
      </c>
    </row>
    <row r="10" spans="1:21" s="2" customFormat="1" ht="55.5" customHeight="1" x14ac:dyDescent="0.25">
      <c r="A10" s="4" t="s">
        <v>60</v>
      </c>
      <c r="B10" s="144" t="s">
        <v>57</v>
      </c>
      <c r="C10" s="143" t="s">
        <v>39</v>
      </c>
      <c r="D10" s="145" t="s">
        <v>61</v>
      </c>
      <c r="E10" s="3">
        <f>H10+I10</f>
        <v>1439.8000000000002</v>
      </c>
      <c r="F10" s="3"/>
      <c r="G10" s="3"/>
      <c r="H10" s="3">
        <v>1425.4</v>
      </c>
      <c r="I10" s="3">
        <v>14.4</v>
      </c>
      <c r="J10" s="3">
        <f>M10+N10</f>
        <v>1435.94</v>
      </c>
      <c r="K10" s="3"/>
      <c r="L10" s="3"/>
      <c r="M10" s="3">
        <v>1421.54</v>
      </c>
      <c r="N10" s="3">
        <v>14.4</v>
      </c>
      <c r="O10" s="3">
        <f>R10+S10</f>
        <v>1435.94</v>
      </c>
      <c r="P10" s="3"/>
      <c r="Q10" s="3"/>
      <c r="R10" s="3">
        <v>1421.54</v>
      </c>
      <c r="S10" s="3">
        <v>14.4</v>
      </c>
      <c r="T10" s="13">
        <f t="shared" si="1"/>
        <v>0.99731907209334625</v>
      </c>
      <c r="U10" s="13">
        <f t="shared" si="2"/>
        <v>0.99731907209334625</v>
      </c>
    </row>
    <row r="11" spans="1:21" s="2" customFormat="1" ht="55.5" customHeight="1" x14ac:dyDescent="0.25">
      <c r="A11" s="4" t="s">
        <v>391</v>
      </c>
      <c r="B11" s="146" t="s">
        <v>392</v>
      </c>
      <c r="C11" s="143" t="s">
        <v>77</v>
      </c>
      <c r="D11" s="145" t="s">
        <v>61</v>
      </c>
      <c r="E11" s="3">
        <f t="shared" ref="E11:E12" si="7">H11+I11</f>
        <v>1675.3</v>
      </c>
      <c r="F11" s="3"/>
      <c r="G11" s="3"/>
      <c r="H11" s="3">
        <v>1658.5</v>
      </c>
      <c r="I11" s="3">
        <v>16.8</v>
      </c>
      <c r="J11" s="3">
        <f>M11+N11</f>
        <v>1230.5</v>
      </c>
      <c r="K11" s="3"/>
      <c r="L11" s="3"/>
      <c r="M11" s="3">
        <v>1218.2</v>
      </c>
      <c r="N11" s="3">
        <v>12.3</v>
      </c>
      <c r="O11" s="3">
        <f>R11+S11</f>
        <v>1230.5</v>
      </c>
      <c r="P11" s="3"/>
      <c r="Q11" s="3"/>
      <c r="R11" s="3">
        <v>1218.2</v>
      </c>
      <c r="S11" s="3">
        <v>12.3</v>
      </c>
      <c r="T11" s="13">
        <f t="shared" si="1"/>
        <v>0.73449531427207071</v>
      </c>
      <c r="U11" s="13">
        <f t="shared" si="2"/>
        <v>0.73449531427207071</v>
      </c>
    </row>
    <row r="12" spans="1:21" s="2" customFormat="1" ht="55.5" customHeight="1" x14ac:dyDescent="0.25">
      <c r="A12" s="4" t="s">
        <v>440</v>
      </c>
      <c r="B12" s="146" t="s">
        <v>441</v>
      </c>
      <c r="C12" s="143" t="s">
        <v>77</v>
      </c>
      <c r="D12" s="145" t="s">
        <v>61</v>
      </c>
      <c r="E12" s="3">
        <f t="shared" si="7"/>
        <v>4913.1000000000004</v>
      </c>
      <c r="F12" s="3"/>
      <c r="G12" s="3"/>
      <c r="H12" s="3">
        <v>4864</v>
      </c>
      <c r="I12" s="3">
        <v>49.1</v>
      </c>
      <c r="J12" s="3" t="s">
        <v>19</v>
      </c>
      <c r="K12" s="3"/>
      <c r="L12" s="3"/>
      <c r="M12" s="3" t="s">
        <v>19</v>
      </c>
      <c r="N12" s="3" t="s">
        <v>19</v>
      </c>
      <c r="O12" s="3" t="s">
        <v>19</v>
      </c>
      <c r="P12" s="3"/>
      <c r="Q12" s="3"/>
      <c r="R12" s="3" t="s">
        <v>19</v>
      </c>
      <c r="S12" s="3" t="s">
        <v>19</v>
      </c>
      <c r="T12" s="13" t="s">
        <v>19</v>
      </c>
      <c r="U12" s="13" t="s">
        <v>19</v>
      </c>
    </row>
    <row r="13" spans="1:21" s="2" customFormat="1" x14ac:dyDescent="0.25">
      <c r="A13" s="23"/>
      <c r="B13" s="5" t="s">
        <v>2</v>
      </c>
      <c r="C13" s="5"/>
      <c r="D13" s="3"/>
      <c r="E13" s="6">
        <f>E6+E8</f>
        <v>44560.060000000005</v>
      </c>
      <c r="F13" s="6">
        <f t="shared" ref="F13:S13" si="8">F6+F8</f>
        <v>0</v>
      </c>
      <c r="G13" s="6">
        <f t="shared" si="8"/>
        <v>0</v>
      </c>
      <c r="H13" s="6">
        <f t="shared" si="8"/>
        <v>44479.76</v>
      </c>
      <c r="I13" s="6">
        <f t="shared" si="8"/>
        <v>80.300000000000011</v>
      </c>
      <c r="J13" s="6">
        <f t="shared" si="8"/>
        <v>16702.349999999999</v>
      </c>
      <c r="K13" s="6">
        <f t="shared" si="8"/>
        <v>0</v>
      </c>
      <c r="L13" s="6">
        <f t="shared" si="8"/>
        <v>0</v>
      </c>
      <c r="M13" s="6">
        <f t="shared" si="8"/>
        <v>16675.649999999998</v>
      </c>
      <c r="N13" s="6">
        <f t="shared" si="8"/>
        <v>26.700000000000003</v>
      </c>
      <c r="O13" s="6">
        <f t="shared" si="8"/>
        <v>16702.349999999999</v>
      </c>
      <c r="P13" s="6">
        <f t="shared" si="8"/>
        <v>0</v>
      </c>
      <c r="Q13" s="6">
        <f t="shared" si="8"/>
        <v>0</v>
      </c>
      <c r="R13" s="6">
        <f t="shared" si="8"/>
        <v>16675.649999999998</v>
      </c>
      <c r="S13" s="6">
        <f t="shared" si="8"/>
        <v>26.700000000000003</v>
      </c>
      <c r="T13" s="139">
        <f>J13/E13</f>
        <v>0.37482781665913367</v>
      </c>
      <c r="U13" s="139">
        <f>O13/E13</f>
        <v>0.37482781665913367</v>
      </c>
    </row>
  </sheetData>
  <mergeCells count="13">
    <mergeCell ref="B6:D6"/>
    <mergeCell ref="B8:D8"/>
    <mergeCell ref="A1:U1"/>
    <mergeCell ref="A2:U2"/>
    <mergeCell ref="T3:T4"/>
    <mergeCell ref="U3:U4"/>
    <mergeCell ref="A3:A4"/>
    <mergeCell ref="B3:B4"/>
    <mergeCell ref="C3:C4"/>
    <mergeCell ref="D3:D4"/>
    <mergeCell ref="E3:I3"/>
    <mergeCell ref="J3:N3"/>
    <mergeCell ref="O3:S3"/>
  </mergeCells>
  <pageMargins left="0.39370078740157483" right="0.39370078740157483" top="0.39370078740157483" bottom="0.39370078740157483" header="0.31496062992125984" footer="0.31496062992125984"/>
  <pageSetup paperSize="9" scale="4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2"/>
  <sheetViews>
    <sheetView view="pageBreakPreview" zoomScale="90" zoomScaleNormal="100" zoomScaleSheetLayoutView="90" workbookViewId="0">
      <selection activeCell="I3" sqref="I3:I5"/>
    </sheetView>
  </sheetViews>
  <sheetFormatPr defaultRowHeight="15.75" x14ac:dyDescent="0.25"/>
  <cols>
    <col min="1" max="1" width="6.5703125" style="31" customWidth="1"/>
    <col min="2" max="2" width="35.28515625" style="31" customWidth="1"/>
    <col min="3" max="3" width="14" style="31" hidden="1" customWidth="1"/>
    <col min="4" max="4" width="11.42578125" style="31" hidden="1" customWidth="1"/>
    <col min="5" max="5" width="21.7109375" style="31" customWidth="1"/>
    <col min="6" max="6" width="13.7109375" style="31" customWidth="1"/>
    <col min="7" max="7" width="14.85546875" style="31" customWidth="1"/>
    <col min="8" max="8" width="19.5703125" style="31" customWidth="1"/>
    <col min="9" max="9" width="15.7109375" style="31" customWidth="1"/>
    <col min="10" max="10" width="14.7109375" style="31" customWidth="1"/>
    <col min="11" max="12" width="14.140625" style="31" customWidth="1"/>
    <col min="13" max="13" width="15.140625" style="31" customWidth="1"/>
    <col min="14" max="255" width="9.140625" style="31"/>
    <col min="256" max="256" width="6.5703125" style="31" customWidth="1"/>
    <col min="257" max="257" width="35.28515625" style="31" customWidth="1"/>
    <col min="258" max="258" width="14" style="31" customWidth="1"/>
    <col min="259" max="259" width="11.42578125" style="31" customWidth="1"/>
    <col min="260" max="260" width="21.7109375" style="31" customWidth="1"/>
    <col min="261" max="261" width="13.7109375" style="31" customWidth="1"/>
    <col min="262" max="262" width="14.85546875" style="31" customWidth="1"/>
    <col min="263" max="263" width="19.5703125" style="31" customWidth="1"/>
    <col min="264" max="264" width="13.7109375" style="31" customWidth="1"/>
    <col min="265" max="265" width="14.7109375" style="31" customWidth="1"/>
    <col min="266" max="267" width="14.140625" style="31" customWidth="1"/>
    <col min="268" max="268" width="15.140625" style="31" customWidth="1"/>
    <col min="269" max="269" width="21.5703125" style="31" customWidth="1"/>
    <col min="270" max="511" width="9.140625" style="31"/>
    <col min="512" max="512" width="6.5703125" style="31" customWidth="1"/>
    <col min="513" max="513" width="35.28515625" style="31" customWidth="1"/>
    <col min="514" max="514" width="14" style="31" customWidth="1"/>
    <col min="515" max="515" width="11.42578125" style="31" customWidth="1"/>
    <col min="516" max="516" width="21.7109375" style="31" customWidth="1"/>
    <col min="517" max="517" width="13.7109375" style="31" customWidth="1"/>
    <col min="518" max="518" width="14.85546875" style="31" customWidth="1"/>
    <col min="519" max="519" width="19.5703125" style="31" customWidth="1"/>
    <col min="520" max="520" width="13.7109375" style="31" customWidth="1"/>
    <col min="521" max="521" width="14.7109375" style="31" customWidth="1"/>
    <col min="522" max="523" width="14.140625" style="31" customWidth="1"/>
    <col min="524" max="524" width="15.140625" style="31" customWidth="1"/>
    <col min="525" max="525" width="21.5703125" style="31" customWidth="1"/>
    <col min="526" max="767" width="9.140625" style="31"/>
    <col min="768" max="768" width="6.5703125" style="31" customWidth="1"/>
    <col min="769" max="769" width="35.28515625" style="31" customWidth="1"/>
    <col min="770" max="770" width="14" style="31" customWidth="1"/>
    <col min="771" max="771" width="11.42578125" style="31" customWidth="1"/>
    <col min="772" max="772" width="21.7109375" style="31" customWidth="1"/>
    <col min="773" max="773" width="13.7109375" style="31" customWidth="1"/>
    <col min="774" max="774" width="14.85546875" style="31" customWidth="1"/>
    <col min="775" max="775" width="19.5703125" style="31" customWidth="1"/>
    <col min="776" max="776" width="13.7109375" style="31" customWidth="1"/>
    <col min="777" max="777" width="14.7109375" style="31" customWidth="1"/>
    <col min="778" max="779" width="14.140625" style="31" customWidth="1"/>
    <col min="780" max="780" width="15.140625" style="31" customWidth="1"/>
    <col min="781" max="781" width="21.5703125" style="31" customWidth="1"/>
    <col min="782" max="1023" width="9.140625" style="31"/>
    <col min="1024" max="1024" width="6.5703125" style="31" customWidth="1"/>
    <col min="1025" max="1025" width="35.28515625" style="31" customWidth="1"/>
    <col min="1026" max="1026" width="14" style="31" customWidth="1"/>
    <col min="1027" max="1027" width="11.42578125" style="31" customWidth="1"/>
    <col min="1028" max="1028" width="21.7109375" style="31" customWidth="1"/>
    <col min="1029" max="1029" width="13.7109375" style="31" customWidth="1"/>
    <col min="1030" max="1030" width="14.85546875" style="31" customWidth="1"/>
    <col min="1031" max="1031" width="19.5703125" style="31" customWidth="1"/>
    <col min="1032" max="1032" width="13.7109375" style="31" customWidth="1"/>
    <col min="1033" max="1033" width="14.7109375" style="31" customWidth="1"/>
    <col min="1034" max="1035" width="14.140625" style="31" customWidth="1"/>
    <col min="1036" max="1036" width="15.140625" style="31" customWidth="1"/>
    <col min="1037" max="1037" width="21.5703125" style="31" customWidth="1"/>
    <col min="1038" max="1279" width="9.140625" style="31"/>
    <col min="1280" max="1280" width="6.5703125" style="31" customWidth="1"/>
    <col min="1281" max="1281" width="35.28515625" style="31" customWidth="1"/>
    <col min="1282" max="1282" width="14" style="31" customWidth="1"/>
    <col min="1283" max="1283" width="11.42578125" style="31" customWidth="1"/>
    <col min="1284" max="1284" width="21.7109375" style="31" customWidth="1"/>
    <col min="1285" max="1285" width="13.7109375" style="31" customWidth="1"/>
    <col min="1286" max="1286" width="14.85546875" style="31" customWidth="1"/>
    <col min="1287" max="1287" width="19.5703125" style="31" customWidth="1"/>
    <col min="1288" max="1288" width="13.7109375" style="31" customWidth="1"/>
    <col min="1289" max="1289" width="14.7109375" style="31" customWidth="1"/>
    <col min="1290" max="1291" width="14.140625" style="31" customWidth="1"/>
    <col min="1292" max="1292" width="15.140625" style="31" customWidth="1"/>
    <col min="1293" max="1293" width="21.5703125" style="31" customWidth="1"/>
    <col min="1294" max="1535" width="9.140625" style="31"/>
    <col min="1536" max="1536" width="6.5703125" style="31" customWidth="1"/>
    <col min="1537" max="1537" width="35.28515625" style="31" customWidth="1"/>
    <col min="1538" max="1538" width="14" style="31" customWidth="1"/>
    <col min="1539" max="1539" width="11.42578125" style="31" customWidth="1"/>
    <col min="1540" max="1540" width="21.7109375" style="31" customWidth="1"/>
    <col min="1541" max="1541" width="13.7109375" style="31" customWidth="1"/>
    <col min="1542" max="1542" width="14.85546875" style="31" customWidth="1"/>
    <col min="1543" max="1543" width="19.5703125" style="31" customWidth="1"/>
    <col min="1544" max="1544" width="13.7109375" style="31" customWidth="1"/>
    <col min="1545" max="1545" width="14.7109375" style="31" customWidth="1"/>
    <col min="1546" max="1547" width="14.140625" style="31" customWidth="1"/>
    <col min="1548" max="1548" width="15.140625" style="31" customWidth="1"/>
    <col min="1549" max="1549" width="21.5703125" style="31" customWidth="1"/>
    <col min="1550" max="1791" width="9.140625" style="31"/>
    <col min="1792" max="1792" width="6.5703125" style="31" customWidth="1"/>
    <col min="1793" max="1793" width="35.28515625" style="31" customWidth="1"/>
    <col min="1794" max="1794" width="14" style="31" customWidth="1"/>
    <col min="1795" max="1795" width="11.42578125" style="31" customWidth="1"/>
    <col min="1796" max="1796" width="21.7109375" style="31" customWidth="1"/>
    <col min="1797" max="1797" width="13.7109375" style="31" customWidth="1"/>
    <col min="1798" max="1798" width="14.85546875" style="31" customWidth="1"/>
    <col min="1799" max="1799" width="19.5703125" style="31" customWidth="1"/>
    <col min="1800" max="1800" width="13.7109375" style="31" customWidth="1"/>
    <col min="1801" max="1801" width="14.7109375" style="31" customWidth="1"/>
    <col min="1802" max="1803" width="14.140625" style="31" customWidth="1"/>
    <col min="1804" max="1804" width="15.140625" style="31" customWidth="1"/>
    <col min="1805" max="1805" width="21.5703125" style="31" customWidth="1"/>
    <col min="1806" max="2047" width="9.140625" style="31"/>
    <col min="2048" max="2048" width="6.5703125" style="31" customWidth="1"/>
    <col min="2049" max="2049" width="35.28515625" style="31" customWidth="1"/>
    <col min="2050" max="2050" width="14" style="31" customWidth="1"/>
    <col min="2051" max="2051" width="11.42578125" style="31" customWidth="1"/>
    <col min="2052" max="2052" width="21.7109375" style="31" customWidth="1"/>
    <col min="2053" max="2053" width="13.7109375" style="31" customWidth="1"/>
    <col min="2054" max="2054" width="14.85546875" style="31" customWidth="1"/>
    <col min="2055" max="2055" width="19.5703125" style="31" customWidth="1"/>
    <col min="2056" max="2056" width="13.7109375" style="31" customWidth="1"/>
    <col min="2057" max="2057" width="14.7109375" style="31" customWidth="1"/>
    <col min="2058" max="2059" width="14.140625" style="31" customWidth="1"/>
    <col min="2060" max="2060" width="15.140625" style="31" customWidth="1"/>
    <col min="2061" max="2061" width="21.5703125" style="31" customWidth="1"/>
    <col min="2062" max="2303" width="9.140625" style="31"/>
    <col min="2304" max="2304" width="6.5703125" style="31" customWidth="1"/>
    <col min="2305" max="2305" width="35.28515625" style="31" customWidth="1"/>
    <col min="2306" max="2306" width="14" style="31" customWidth="1"/>
    <col min="2307" max="2307" width="11.42578125" style="31" customWidth="1"/>
    <col min="2308" max="2308" width="21.7109375" style="31" customWidth="1"/>
    <col min="2309" max="2309" width="13.7109375" style="31" customWidth="1"/>
    <col min="2310" max="2310" width="14.85546875" style="31" customWidth="1"/>
    <col min="2311" max="2311" width="19.5703125" style="31" customWidth="1"/>
    <col min="2312" max="2312" width="13.7109375" style="31" customWidth="1"/>
    <col min="2313" max="2313" width="14.7109375" style="31" customWidth="1"/>
    <col min="2314" max="2315" width="14.140625" style="31" customWidth="1"/>
    <col min="2316" max="2316" width="15.140625" style="31" customWidth="1"/>
    <col min="2317" max="2317" width="21.5703125" style="31" customWidth="1"/>
    <col min="2318" max="2559" width="9.140625" style="31"/>
    <col min="2560" max="2560" width="6.5703125" style="31" customWidth="1"/>
    <col min="2561" max="2561" width="35.28515625" style="31" customWidth="1"/>
    <col min="2562" max="2562" width="14" style="31" customWidth="1"/>
    <col min="2563" max="2563" width="11.42578125" style="31" customWidth="1"/>
    <col min="2564" max="2564" width="21.7109375" style="31" customWidth="1"/>
    <col min="2565" max="2565" width="13.7109375" style="31" customWidth="1"/>
    <col min="2566" max="2566" width="14.85546875" style="31" customWidth="1"/>
    <col min="2567" max="2567" width="19.5703125" style="31" customWidth="1"/>
    <col min="2568" max="2568" width="13.7109375" style="31" customWidth="1"/>
    <col min="2569" max="2569" width="14.7109375" style="31" customWidth="1"/>
    <col min="2570" max="2571" width="14.140625" style="31" customWidth="1"/>
    <col min="2572" max="2572" width="15.140625" style="31" customWidth="1"/>
    <col min="2573" max="2573" width="21.5703125" style="31" customWidth="1"/>
    <col min="2574" max="2815" width="9.140625" style="31"/>
    <col min="2816" max="2816" width="6.5703125" style="31" customWidth="1"/>
    <col min="2817" max="2817" width="35.28515625" style="31" customWidth="1"/>
    <col min="2818" max="2818" width="14" style="31" customWidth="1"/>
    <col min="2819" max="2819" width="11.42578125" style="31" customWidth="1"/>
    <col min="2820" max="2820" width="21.7109375" style="31" customWidth="1"/>
    <col min="2821" max="2821" width="13.7109375" style="31" customWidth="1"/>
    <col min="2822" max="2822" width="14.85546875" style="31" customWidth="1"/>
    <col min="2823" max="2823" width="19.5703125" style="31" customWidth="1"/>
    <col min="2824" max="2824" width="13.7109375" style="31" customWidth="1"/>
    <col min="2825" max="2825" width="14.7109375" style="31" customWidth="1"/>
    <col min="2826" max="2827" width="14.140625" style="31" customWidth="1"/>
    <col min="2828" max="2828" width="15.140625" style="31" customWidth="1"/>
    <col min="2829" max="2829" width="21.5703125" style="31" customWidth="1"/>
    <col min="2830" max="3071" width="9.140625" style="31"/>
    <col min="3072" max="3072" width="6.5703125" style="31" customWidth="1"/>
    <col min="3073" max="3073" width="35.28515625" style="31" customWidth="1"/>
    <col min="3074" max="3074" width="14" style="31" customWidth="1"/>
    <col min="3075" max="3075" width="11.42578125" style="31" customWidth="1"/>
    <col min="3076" max="3076" width="21.7109375" style="31" customWidth="1"/>
    <col min="3077" max="3077" width="13.7109375" style="31" customWidth="1"/>
    <col min="3078" max="3078" width="14.85546875" style="31" customWidth="1"/>
    <col min="3079" max="3079" width="19.5703125" style="31" customWidth="1"/>
    <col min="3080" max="3080" width="13.7109375" style="31" customWidth="1"/>
    <col min="3081" max="3081" width="14.7109375" style="31" customWidth="1"/>
    <col min="3082" max="3083" width="14.140625" style="31" customWidth="1"/>
    <col min="3084" max="3084" width="15.140625" style="31" customWidth="1"/>
    <col min="3085" max="3085" width="21.5703125" style="31" customWidth="1"/>
    <col min="3086" max="3327" width="9.140625" style="31"/>
    <col min="3328" max="3328" width="6.5703125" style="31" customWidth="1"/>
    <col min="3329" max="3329" width="35.28515625" style="31" customWidth="1"/>
    <col min="3330" max="3330" width="14" style="31" customWidth="1"/>
    <col min="3331" max="3331" width="11.42578125" style="31" customWidth="1"/>
    <col min="3332" max="3332" width="21.7109375" style="31" customWidth="1"/>
    <col min="3333" max="3333" width="13.7109375" style="31" customWidth="1"/>
    <col min="3334" max="3334" width="14.85546875" style="31" customWidth="1"/>
    <col min="3335" max="3335" width="19.5703125" style="31" customWidth="1"/>
    <col min="3336" max="3336" width="13.7109375" style="31" customWidth="1"/>
    <col min="3337" max="3337" width="14.7109375" style="31" customWidth="1"/>
    <col min="3338" max="3339" width="14.140625" style="31" customWidth="1"/>
    <col min="3340" max="3340" width="15.140625" style="31" customWidth="1"/>
    <col min="3341" max="3341" width="21.5703125" style="31" customWidth="1"/>
    <col min="3342" max="3583" width="9.140625" style="31"/>
    <col min="3584" max="3584" width="6.5703125" style="31" customWidth="1"/>
    <col min="3585" max="3585" width="35.28515625" style="31" customWidth="1"/>
    <col min="3586" max="3586" width="14" style="31" customWidth="1"/>
    <col min="3587" max="3587" width="11.42578125" style="31" customWidth="1"/>
    <col min="3588" max="3588" width="21.7109375" style="31" customWidth="1"/>
    <col min="3589" max="3589" width="13.7109375" style="31" customWidth="1"/>
    <col min="3590" max="3590" width="14.85546875" style="31" customWidth="1"/>
    <col min="3591" max="3591" width="19.5703125" style="31" customWidth="1"/>
    <col min="3592" max="3592" width="13.7109375" style="31" customWidth="1"/>
    <col min="3593" max="3593" width="14.7109375" style="31" customWidth="1"/>
    <col min="3594" max="3595" width="14.140625" style="31" customWidth="1"/>
    <col min="3596" max="3596" width="15.140625" style="31" customWidth="1"/>
    <col min="3597" max="3597" width="21.5703125" style="31" customWidth="1"/>
    <col min="3598" max="3839" width="9.140625" style="31"/>
    <col min="3840" max="3840" width="6.5703125" style="31" customWidth="1"/>
    <col min="3841" max="3841" width="35.28515625" style="31" customWidth="1"/>
    <col min="3842" max="3842" width="14" style="31" customWidth="1"/>
    <col min="3843" max="3843" width="11.42578125" style="31" customWidth="1"/>
    <col min="3844" max="3844" width="21.7109375" style="31" customWidth="1"/>
    <col min="3845" max="3845" width="13.7109375" style="31" customWidth="1"/>
    <col min="3846" max="3846" width="14.85546875" style="31" customWidth="1"/>
    <col min="3847" max="3847" width="19.5703125" style="31" customWidth="1"/>
    <col min="3848" max="3848" width="13.7109375" style="31" customWidth="1"/>
    <col min="3849" max="3849" width="14.7109375" style="31" customWidth="1"/>
    <col min="3850" max="3851" width="14.140625" style="31" customWidth="1"/>
    <col min="3852" max="3852" width="15.140625" style="31" customWidth="1"/>
    <col min="3853" max="3853" width="21.5703125" style="31" customWidth="1"/>
    <col min="3854" max="4095" width="9.140625" style="31"/>
    <col min="4096" max="4096" width="6.5703125" style="31" customWidth="1"/>
    <col min="4097" max="4097" width="35.28515625" style="31" customWidth="1"/>
    <col min="4098" max="4098" width="14" style="31" customWidth="1"/>
    <col min="4099" max="4099" width="11.42578125" style="31" customWidth="1"/>
    <col min="4100" max="4100" width="21.7109375" style="31" customWidth="1"/>
    <col min="4101" max="4101" width="13.7109375" style="31" customWidth="1"/>
    <col min="4102" max="4102" width="14.85546875" style="31" customWidth="1"/>
    <col min="4103" max="4103" width="19.5703125" style="31" customWidth="1"/>
    <col min="4104" max="4104" width="13.7109375" style="31" customWidth="1"/>
    <col min="4105" max="4105" width="14.7109375" style="31" customWidth="1"/>
    <col min="4106" max="4107" width="14.140625" style="31" customWidth="1"/>
    <col min="4108" max="4108" width="15.140625" style="31" customWidth="1"/>
    <col min="4109" max="4109" width="21.5703125" style="31" customWidth="1"/>
    <col min="4110" max="4351" width="9.140625" style="31"/>
    <col min="4352" max="4352" width="6.5703125" style="31" customWidth="1"/>
    <col min="4353" max="4353" width="35.28515625" style="31" customWidth="1"/>
    <col min="4354" max="4354" width="14" style="31" customWidth="1"/>
    <col min="4355" max="4355" width="11.42578125" style="31" customWidth="1"/>
    <col min="4356" max="4356" width="21.7109375" style="31" customWidth="1"/>
    <col min="4357" max="4357" width="13.7109375" style="31" customWidth="1"/>
    <col min="4358" max="4358" width="14.85546875" style="31" customWidth="1"/>
    <col min="4359" max="4359" width="19.5703125" style="31" customWidth="1"/>
    <col min="4360" max="4360" width="13.7109375" style="31" customWidth="1"/>
    <col min="4361" max="4361" width="14.7109375" style="31" customWidth="1"/>
    <col min="4362" max="4363" width="14.140625" style="31" customWidth="1"/>
    <col min="4364" max="4364" width="15.140625" style="31" customWidth="1"/>
    <col min="4365" max="4365" width="21.5703125" style="31" customWidth="1"/>
    <col min="4366" max="4607" width="9.140625" style="31"/>
    <col min="4608" max="4608" width="6.5703125" style="31" customWidth="1"/>
    <col min="4609" max="4609" width="35.28515625" style="31" customWidth="1"/>
    <col min="4610" max="4610" width="14" style="31" customWidth="1"/>
    <col min="4611" max="4611" width="11.42578125" style="31" customWidth="1"/>
    <col min="4612" max="4612" width="21.7109375" style="31" customWidth="1"/>
    <col min="4613" max="4613" width="13.7109375" style="31" customWidth="1"/>
    <col min="4614" max="4614" width="14.85546875" style="31" customWidth="1"/>
    <col min="4615" max="4615" width="19.5703125" style="31" customWidth="1"/>
    <col min="4616" max="4616" width="13.7109375" style="31" customWidth="1"/>
    <col min="4617" max="4617" width="14.7109375" style="31" customWidth="1"/>
    <col min="4618" max="4619" width="14.140625" style="31" customWidth="1"/>
    <col min="4620" max="4620" width="15.140625" style="31" customWidth="1"/>
    <col min="4621" max="4621" width="21.5703125" style="31" customWidth="1"/>
    <col min="4622" max="4863" width="9.140625" style="31"/>
    <col min="4864" max="4864" width="6.5703125" style="31" customWidth="1"/>
    <col min="4865" max="4865" width="35.28515625" style="31" customWidth="1"/>
    <col min="4866" max="4866" width="14" style="31" customWidth="1"/>
    <col min="4867" max="4867" width="11.42578125" style="31" customWidth="1"/>
    <col min="4868" max="4868" width="21.7109375" style="31" customWidth="1"/>
    <col min="4869" max="4869" width="13.7109375" style="31" customWidth="1"/>
    <col min="4870" max="4870" width="14.85546875" style="31" customWidth="1"/>
    <col min="4871" max="4871" width="19.5703125" style="31" customWidth="1"/>
    <col min="4872" max="4872" width="13.7109375" style="31" customWidth="1"/>
    <col min="4873" max="4873" width="14.7109375" style="31" customWidth="1"/>
    <col min="4874" max="4875" width="14.140625" style="31" customWidth="1"/>
    <col min="4876" max="4876" width="15.140625" style="31" customWidth="1"/>
    <col min="4877" max="4877" width="21.5703125" style="31" customWidth="1"/>
    <col min="4878" max="5119" width="9.140625" style="31"/>
    <col min="5120" max="5120" width="6.5703125" style="31" customWidth="1"/>
    <col min="5121" max="5121" width="35.28515625" style="31" customWidth="1"/>
    <col min="5122" max="5122" width="14" style="31" customWidth="1"/>
    <col min="5123" max="5123" width="11.42578125" style="31" customWidth="1"/>
    <col min="5124" max="5124" width="21.7109375" style="31" customWidth="1"/>
    <col min="5125" max="5125" width="13.7109375" style="31" customWidth="1"/>
    <col min="5126" max="5126" width="14.85546875" style="31" customWidth="1"/>
    <col min="5127" max="5127" width="19.5703125" style="31" customWidth="1"/>
    <col min="5128" max="5128" width="13.7109375" style="31" customWidth="1"/>
    <col min="5129" max="5129" width="14.7109375" style="31" customWidth="1"/>
    <col min="5130" max="5131" width="14.140625" style="31" customWidth="1"/>
    <col min="5132" max="5132" width="15.140625" style="31" customWidth="1"/>
    <col min="5133" max="5133" width="21.5703125" style="31" customWidth="1"/>
    <col min="5134" max="5375" width="9.140625" style="31"/>
    <col min="5376" max="5376" width="6.5703125" style="31" customWidth="1"/>
    <col min="5377" max="5377" width="35.28515625" style="31" customWidth="1"/>
    <col min="5378" max="5378" width="14" style="31" customWidth="1"/>
    <col min="5379" max="5379" width="11.42578125" style="31" customWidth="1"/>
    <col min="5380" max="5380" width="21.7109375" style="31" customWidth="1"/>
    <col min="5381" max="5381" width="13.7109375" style="31" customWidth="1"/>
    <col min="5382" max="5382" width="14.85546875" style="31" customWidth="1"/>
    <col min="5383" max="5383" width="19.5703125" style="31" customWidth="1"/>
    <col min="5384" max="5384" width="13.7109375" style="31" customWidth="1"/>
    <col min="5385" max="5385" width="14.7109375" style="31" customWidth="1"/>
    <col min="5386" max="5387" width="14.140625" style="31" customWidth="1"/>
    <col min="5388" max="5388" width="15.140625" style="31" customWidth="1"/>
    <col min="5389" max="5389" width="21.5703125" style="31" customWidth="1"/>
    <col min="5390" max="5631" width="9.140625" style="31"/>
    <col min="5632" max="5632" width="6.5703125" style="31" customWidth="1"/>
    <col min="5633" max="5633" width="35.28515625" style="31" customWidth="1"/>
    <col min="5634" max="5634" width="14" style="31" customWidth="1"/>
    <col min="5635" max="5635" width="11.42578125" style="31" customWidth="1"/>
    <col min="5636" max="5636" width="21.7109375" style="31" customWidth="1"/>
    <col min="5637" max="5637" width="13.7109375" style="31" customWidth="1"/>
    <col min="5638" max="5638" width="14.85546875" style="31" customWidth="1"/>
    <col min="5639" max="5639" width="19.5703125" style="31" customWidth="1"/>
    <col min="5640" max="5640" width="13.7109375" style="31" customWidth="1"/>
    <col min="5641" max="5641" width="14.7109375" style="31" customWidth="1"/>
    <col min="5642" max="5643" width="14.140625" style="31" customWidth="1"/>
    <col min="5644" max="5644" width="15.140625" style="31" customWidth="1"/>
    <col min="5645" max="5645" width="21.5703125" style="31" customWidth="1"/>
    <col min="5646" max="5887" width="9.140625" style="31"/>
    <col min="5888" max="5888" width="6.5703125" style="31" customWidth="1"/>
    <col min="5889" max="5889" width="35.28515625" style="31" customWidth="1"/>
    <col min="5890" max="5890" width="14" style="31" customWidth="1"/>
    <col min="5891" max="5891" width="11.42578125" style="31" customWidth="1"/>
    <col min="5892" max="5892" width="21.7109375" style="31" customWidth="1"/>
    <col min="5893" max="5893" width="13.7109375" style="31" customWidth="1"/>
    <col min="5894" max="5894" width="14.85546875" style="31" customWidth="1"/>
    <col min="5895" max="5895" width="19.5703125" style="31" customWidth="1"/>
    <col min="5896" max="5896" width="13.7109375" style="31" customWidth="1"/>
    <col min="5897" max="5897" width="14.7109375" style="31" customWidth="1"/>
    <col min="5898" max="5899" width="14.140625" style="31" customWidth="1"/>
    <col min="5900" max="5900" width="15.140625" style="31" customWidth="1"/>
    <col min="5901" max="5901" width="21.5703125" style="31" customWidth="1"/>
    <col min="5902" max="6143" width="9.140625" style="31"/>
    <col min="6144" max="6144" width="6.5703125" style="31" customWidth="1"/>
    <col min="6145" max="6145" width="35.28515625" style="31" customWidth="1"/>
    <col min="6146" max="6146" width="14" style="31" customWidth="1"/>
    <col min="6147" max="6147" width="11.42578125" style="31" customWidth="1"/>
    <col min="6148" max="6148" width="21.7109375" style="31" customWidth="1"/>
    <col min="6149" max="6149" width="13.7109375" style="31" customWidth="1"/>
    <col min="6150" max="6150" width="14.85546875" style="31" customWidth="1"/>
    <col min="6151" max="6151" width="19.5703125" style="31" customWidth="1"/>
    <col min="6152" max="6152" width="13.7109375" style="31" customWidth="1"/>
    <col min="6153" max="6153" width="14.7109375" style="31" customWidth="1"/>
    <col min="6154" max="6155" width="14.140625" style="31" customWidth="1"/>
    <col min="6156" max="6156" width="15.140625" style="31" customWidth="1"/>
    <col min="6157" max="6157" width="21.5703125" style="31" customWidth="1"/>
    <col min="6158" max="6399" width="9.140625" style="31"/>
    <col min="6400" max="6400" width="6.5703125" style="31" customWidth="1"/>
    <col min="6401" max="6401" width="35.28515625" style="31" customWidth="1"/>
    <col min="6402" max="6402" width="14" style="31" customWidth="1"/>
    <col min="6403" max="6403" width="11.42578125" style="31" customWidth="1"/>
    <col min="6404" max="6404" width="21.7109375" style="31" customWidth="1"/>
    <col min="6405" max="6405" width="13.7109375" style="31" customWidth="1"/>
    <col min="6406" max="6406" width="14.85546875" style="31" customWidth="1"/>
    <col min="6407" max="6407" width="19.5703125" style="31" customWidth="1"/>
    <col min="6408" max="6408" width="13.7109375" style="31" customWidth="1"/>
    <col min="6409" max="6409" width="14.7109375" style="31" customWidth="1"/>
    <col min="6410" max="6411" width="14.140625" style="31" customWidth="1"/>
    <col min="6412" max="6412" width="15.140625" style="31" customWidth="1"/>
    <col min="6413" max="6413" width="21.5703125" style="31" customWidth="1"/>
    <col min="6414" max="6655" width="9.140625" style="31"/>
    <col min="6656" max="6656" width="6.5703125" style="31" customWidth="1"/>
    <col min="6657" max="6657" width="35.28515625" style="31" customWidth="1"/>
    <col min="6658" max="6658" width="14" style="31" customWidth="1"/>
    <col min="6659" max="6659" width="11.42578125" style="31" customWidth="1"/>
    <col min="6660" max="6660" width="21.7109375" style="31" customWidth="1"/>
    <col min="6661" max="6661" width="13.7109375" style="31" customWidth="1"/>
    <col min="6662" max="6662" width="14.85546875" style="31" customWidth="1"/>
    <col min="6663" max="6663" width="19.5703125" style="31" customWidth="1"/>
    <col min="6664" max="6664" width="13.7109375" style="31" customWidth="1"/>
    <col min="6665" max="6665" width="14.7109375" style="31" customWidth="1"/>
    <col min="6666" max="6667" width="14.140625" style="31" customWidth="1"/>
    <col min="6668" max="6668" width="15.140625" style="31" customWidth="1"/>
    <col min="6669" max="6669" width="21.5703125" style="31" customWidth="1"/>
    <col min="6670" max="6911" width="9.140625" style="31"/>
    <col min="6912" max="6912" width="6.5703125" style="31" customWidth="1"/>
    <col min="6913" max="6913" width="35.28515625" style="31" customWidth="1"/>
    <col min="6914" max="6914" width="14" style="31" customWidth="1"/>
    <col min="6915" max="6915" width="11.42578125" style="31" customWidth="1"/>
    <col min="6916" max="6916" width="21.7109375" style="31" customWidth="1"/>
    <col min="6917" max="6917" width="13.7109375" style="31" customWidth="1"/>
    <col min="6918" max="6918" width="14.85546875" style="31" customWidth="1"/>
    <col min="6919" max="6919" width="19.5703125" style="31" customWidth="1"/>
    <col min="6920" max="6920" width="13.7109375" style="31" customWidth="1"/>
    <col min="6921" max="6921" width="14.7109375" style="31" customWidth="1"/>
    <col min="6922" max="6923" width="14.140625" style="31" customWidth="1"/>
    <col min="6924" max="6924" width="15.140625" style="31" customWidth="1"/>
    <col min="6925" max="6925" width="21.5703125" style="31" customWidth="1"/>
    <col min="6926" max="7167" width="9.140625" style="31"/>
    <col min="7168" max="7168" width="6.5703125" style="31" customWidth="1"/>
    <col min="7169" max="7169" width="35.28515625" style="31" customWidth="1"/>
    <col min="7170" max="7170" width="14" style="31" customWidth="1"/>
    <col min="7171" max="7171" width="11.42578125" style="31" customWidth="1"/>
    <col min="7172" max="7172" width="21.7109375" style="31" customWidth="1"/>
    <col min="7173" max="7173" width="13.7109375" style="31" customWidth="1"/>
    <col min="7174" max="7174" width="14.85546875" style="31" customWidth="1"/>
    <col min="7175" max="7175" width="19.5703125" style="31" customWidth="1"/>
    <col min="7176" max="7176" width="13.7109375" style="31" customWidth="1"/>
    <col min="7177" max="7177" width="14.7109375" style="31" customWidth="1"/>
    <col min="7178" max="7179" width="14.140625" style="31" customWidth="1"/>
    <col min="7180" max="7180" width="15.140625" style="31" customWidth="1"/>
    <col min="7181" max="7181" width="21.5703125" style="31" customWidth="1"/>
    <col min="7182" max="7423" width="9.140625" style="31"/>
    <col min="7424" max="7424" width="6.5703125" style="31" customWidth="1"/>
    <col min="7425" max="7425" width="35.28515625" style="31" customWidth="1"/>
    <col min="7426" max="7426" width="14" style="31" customWidth="1"/>
    <col min="7427" max="7427" width="11.42578125" style="31" customWidth="1"/>
    <col min="7428" max="7428" width="21.7109375" style="31" customWidth="1"/>
    <col min="7429" max="7429" width="13.7109375" style="31" customWidth="1"/>
    <col min="7430" max="7430" width="14.85546875" style="31" customWidth="1"/>
    <col min="7431" max="7431" width="19.5703125" style="31" customWidth="1"/>
    <col min="7432" max="7432" width="13.7109375" style="31" customWidth="1"/>
    <col min="7433" max="7433" width="14.7109375" style="31" customWidth="1"/>
    <col min="7434" max="7435" width="14.140625" style="31" customWidth="1"/>
    <col min="7436" max="7436" width="15.140625" style="31" customWidth="1"/>
    <col min="7437" max="7437" width="21.5703125" style="31" customWidth="1"/>
    <col min="7438" max="7679" width="9.140625" style="31"/>
    <col min="7680" max="7680" width="6.5703125" style="31" customWidth="1"/>
    <col min="7681" max="7681" width="35.28515625" style="31" customWidth="1"/>
    <col min="7682" max="7682" width="14" style="31" customWidth="1"/>
    <col min="7683" max="7683" width="11.42578125" style="31" customWidth="1"/>
    <col min="7684" max="7684" width="21.7109375" style="31" customWidth="1"/>
    <col min="7685" max="7685" width="13.7109375" style="31" customWidth="1"/>
    <col min="7686" max="7686" width="14.85546875" style="31" customWidth="1"/>
    <col min="7687" max="7687" width="19.5703125" style="31" customWidth="1"/>
    <col min="7688" max="7688" width="13.7109375" style="31" customWidth="1"/>
    <col min="7689" max="7689" width="14.7109375" style="31" customWidth="1"/>
    <col min="7690" max="7691" width="14.140625" style="31" customWidth="1"/>
    <col min="7692" max="7692" width="15.140625" style="31" customWidth="1"/>
    <col min="7693" max="7693" width="21.5703125" style="31" customWidth="1"/>
    <col min="7694" max="7935" width="9.140625" style="31"/>
    <col min="7936" max="7936" width="6.5703125" style="31" customWidth="1"/>
    <col min="7937" max="7937" width="35.28515625" style="31" customWidth="1"/>
    <col min="7938" max="7938" width="14" style="31" customWidth="1"/>
    <col min="7939" max="7939" width="11.42578125" style="31" customWidth="1"/>
    <col min="7940" max="7940" width="21.7109375" style="31" customWidth="1"/>
    <col min="7941" max="7941" width="13.7109375" style="31" customWidth="1"/>
    <col min="7942" max="7942" width="14.85546875" style="31" customWidth="1"/>
    <col min="7943" max="7943" width="19.5703125" style="31" customWidth="1"/>
    <col min="7944" max="7944" width="13.7109375" style="31" customWidth="1"/>
    <col min="7945" max="7945" width="14.7109375" style="31" customWidth="1"/>
    <col min="7946" max="7947" width="14.140625" style="31" customWidth="1"/>
    <col min="7948" max="7948" width="15.140625" style="31" customWidth="1"/>
    <col min="7949" max="7949" width="21.5703125" style="31" customWidth="1"/>
    <col min="7950" max="8191" width="9.140625" style="31"/>
    <col min="8192" max="8192" width="6.5703125" style="31" customWidth="1"/>
    <col min="8193" max="8193" width="35.28515625" style="31" customWidth="1"/>
    <col min="8194" max="8194" width="14" style="31" customWidth="1"/>
    <col min="8195" max="8195" width="11.42578125" style="31" customWidth="1"/>
    <col min="8196" max="8196" width="21.7109375" style="31" customWidth="1"/>
    <col min="8197" max="8197" width="13.7109375" style="31" customWidth="1"/>
    <col min="8198" max="8198" width="14.85546875" style="31" customWidth="1"/>
    <col min="8199" max="8199" width="19.5703125" style="31" customWidth="1"/>
    <col min="8200" max="8200" width="13.7109375" style="31" customWidth="1"/>
    <col min="8201" max="8201" width="14.7109375" style="31" customWidth="1"/>
    <col min="8202" max="8203" width="14.140625" style="31" customWidth="1"/>
    <col min="8204" max="8204" width="15.140625" style="31" customWidth="1"/>
    <col min="8205" max="8205" width="21.5703125" style="31" customWidth="1"/>
    <col min="8206" max="8447" width="9.140625" style="31"/>
    <col min="8448" max="8448" width="6.5703125" style="31" customWidth="1"/>
    <col min="8449" max="8449" width="35.28515625" style="31" customWidth="1"/>
    <col min="8450" max="8450" width="14" style="31" customWidth="1"/>
    <col min="8451" max="8451" width="11.42578125" style="31" customWidth="1"/>
    <col min="8452" max="8452" width="21.7109375" style="31" customWidth="1"/>
    <col min="8453" max="8453" width="13.7109375" style="31" customWidth="1"/>
    <col min="8454" max="8454" width="14.85546875" style="31" customWidth="1"/>
    <col min="8455" max="8455" width="19.5703125" style="31" customWidth="1"/>
    <col min="8456" max="8456" width="13.7109375" style="31" customWidth="1"/>
    <col min="8457" max="8457" width="14.7109375" style="31" customWidth="1"/>
    <col min="8458" max="8459" width="14.140625" style="31" customWidth="1"/>
    <col min="8460" max="8460" width="15.140625" style="31" customWidth="1"/>
    <col min="8461" max="8461" width="21.5703125" style="31" customWidth="1"/>
    <col min="8462" max="8703" width="9.140625" style="31"/>
    <col min="8704" max="8704" width="6.5703125" style="31" customWidth="1"/>
    <col min="8705" max="8705" width="35.28515625" style="31" customWidth="1"/>
    <col min="8706" max="8706" width="14" style="31" customWidth="1"/>
    <col min="8707" max="8707" width="11.42578125" style="31" customWidth="1"/>
    <col min="8708" max="8708" width="21.7109375" style="31" customWidth="1"/>
    <col min="8709" max="8709" width="13.7109375" style="31" customWidth="1"/>
    <col min="8710" max="8710" width="14.85546875" style="31" customWidth="1"/>
    <col min="8711" max="8711" width="19.5703125" style="31" customWidth="1"/>
    <col min="8712" max="8712" width="13.7109375" style="31" customWidth="1"/>
    <col min="8713" max="8713" width="14.7109375" style="31" customWidth="1"/>
    <col min="8714" max="8715" width="14.140625" style="31" customWidth="1"/>
    <col min="8716" max="8716" width="15.140625" style="31" customWidth="1"/>
    <col min="8717" max="8717" width="21.5703125" style="31" customWidth="1"/>
    <col min="8718" max="8959" width="9.140625" style="31"/>
    <col min="8960" max="8960" width="6.5703125" style="31" customWidth="1"/>
    <col min="8961" max="8961" width="35.28515625" style="31" customWidth="1"/>
    <col min="8962" max="8962" width="14" style="31" customWidth="1"/>
    <col min="8963" max="8963" width="11.42578125" style="31" customWidth="1"/>
    <col min="8964" max="8964" width="21.7109375" style="31" customWidth="1"/>
    <col min="8965" max="8965" width="13.7109375" style="31" customWidth="1"/>
    <col min="8966" max="8966" width="14.85546875" style="31" customWidth="1"/>
    <col min="8967" max="8967" width="19.5703125" style="31" customWidth="1"/>
    <col min="8968" max="8968" width="13.7109375" style="31" customWidth="1"/>
    <col min="8969" max="8969" width="14.7109375" style="31" customWidth="1"/>
    <col min="8970" max="8971" width="14.140625" style="31" customWidth="1"/>
    <col min="8972" max="8972" width="15.140625" style="31" customWidth="1"/>
    <col min="8973" max="8973" width="21.5703125" style="31" customWidth="1"/>
    <col min="8974" max="9215" width="9.140625" style="31"/>
    <col min="9216" max="9216" width="6.5703125" style="31" customWidth="1"/>
    <col min="9217" max="9217" width="35.28515625" style="31" customWidth="1"/>
    <col min="9218" max="9218" width="14" style="31" customWidth="1"/>
    <col min="9219" max="9219" width="11.42578125" style="31" customWidth="1"/>
    <col min="9220" max="9220" width="21.7109375" style="31" customWidth="1"/>
    <col min="9221" max="9221" width="13.7109375" style="31" customWidth="1"/>
    <col min="9222" max="9222" width="14.85546875" style="31" customWidth="1"/>
    <col min="9223" max="9223" width="19.5703125" style="31" customWidth="1"/>
    <col min="9224" max="9224" width="13.7109375" style="31" customWidth="1"/>
    <col min="9225" max="9225" width="14.7109375" style="31" customWidth="1"/>
    <col min="9226" max="9227" width="14.140625" style="31" customWidth="1"/>
    <col min="9228" max="9228" width="15.140625" style="31" customWidth="1"/>
    <col min="9229" max="9229" width="21.5703125" style="31" customWidth="1"/>
    <col min="9230" max="9471" width="9.140625" style="31"/>
    <col min="9472" max="9472" width="6.5703125" style="31" customWidth="1"/>
    <col min="9473" max="9473" width="35.28515625" style="31" customWidth="1"/>
    <col min="9474" max="9474" width="14" style="31" customWidth="1"/>
    <col min="9475" max="9475" width="11.42578125" style="31" customWidth="1"/>
    <col min="9476" max="9476" width="21.7109375" style="31" customWidth="1"/>
    <col min="9477" max="9477" width="13.7109375" style="31" customWidth="1"/>
    <col min="9478" max="9478" width="14.85546875" style="31" customWidth="1"/>
    <col min="9479" max="9479" width="19.5703125" style="31" customWidth="1"/>
    <col min="9480" max="9480" width="13.7109375" style="31" customWidth="1"/>
    <col min="9481" max="9481" width="14.7109375" style="31" customWidth="1"/>
    <col min="9482" max="9483" width="14.140625" style="31" customWidth="1"/>
    <col min="9484" max="9484" width="15.140625" style="31" customWidth="1"/>
    <col min="9485" max="9485" width="21.5703125" style="31" customWidth="1"/>
    <col min="9486" max="9727" width="9.140625" style="31"/>
    <col min="9728" max="9728" width="6.5703125" style="31" customWidth="1"/>
    <col min="9729" max="9729" width="35.28515625" style="31" customWidth="1"/>
    <col min="9730" max="9730" width="14" style="31" customWidth="1"/>
    <col min="9731" max="9731" width="11.42578125" style="31" customWidth="1"/>
    <col min="9732" max="9732" width="21.7109375" style="31" customWidth="1"/>
    <col min="9733" max="9733" width="13.7109375" style="31" customWidth="1"/>
    <col min="9734" max="9734" width="14.85546875" style="31" customWidth="1"/>
    <col min="9735" max="9735" width="19.5703125" style="31" customWidth="1"/>
    <col min="9736" max="9736" width="13.7109375" style="31" customWidth="1"/>
    <col min="9737" max="9737" width="14.7109375" style="31" customWidth="1"/>
    <col min="9738" max="9739" width="14.140625" style="31" customWidth="1"/>
    <col min="9740" max="9740" width="15.140625" style="31" customWidth="1"/>
    <col min="9741" max="9741" width="21.5703125" style="31" customWidth="1"/>
    <col min="9742" max="9983" width="9.140625" style="31"/>
    <col min="9984" max="9984" width="6.5703125" style="31" customWidth="1"/>
    <col min="9985" max="9985" width="35.28515625" style="31" customWidth="1"/>
    <col min="9986" max="9986" width="14" style="31" customWidth="1"/>
    <col min="9987" max="9987" width="11.42578125" style="31" customWidth="1"/>
    <col min="9988" max="9988" width="21.7109375" style="31" customWidth="1"/>
    <col min="9989" max="9989" width="13.7109375" style="31" customWidth="1"/>
    <col min="9990" max="9990" width="14.85546875" style="31" customWidth="1"/>
    <col min="9991" max="9991" width="19.5703125" style="31" customWidth="1"/>
    <col min="9992" max="9992" width="13.7109375" style="31" customWidth="1"/>
    <col min="9993" max="9993" width="14.7109375" style="31" customWidth="1"/>
    <col min="9994" max="9995" width="14.140625" style="31" customWidth="1"/>
    <col min="9996" max="9996" width="15.140625" style="31" customWidth="1"/>
    <col min="9997" max="9997" width="21.5703125" style="31" customWidth="1"/>
    <col min="9998" max="10239" width="9.140625" style="31"/>
    <col min="10240" max="10240" width="6.5703125" style="31" customWidth="1"/>
    <col min="10241" max="10241" width="35.28515625" style="31" customWidth="1"/>
    <col min="10242" max="10242" width="14" style="31" customWidth="1"/>
    <col min="10243" max="10243" width="11.42578125" style="31" customWidth="1"/>
    <col min="10244" max="10244" width="21.7109375" style="31" customWidth="1"/>
    <col min="10245" max="10245" width="13.7109375" style="31" customWidth="1"/>
    <col min="10246" max="10246" width="14.85546875" style="31" customWidth="1"/>
    <col min="10247" max="10247" width="19.5703125" style="31" customWidth="1"/>
    <col min="10248" max="10248" width="13.7109375" style="31" customWidth="1"/>
    <col min="10249" max="10249" width="14.7109375" style="31" customWidth="1"/>
    <col min="10250" max="10251" width="14.140625" style="31" customWidth="1"/>
    <col min="10252" max="10252" width="15.140625" style="31" customWidth="1"/>
    <col min="10253" max="10253" width="21.5703125" style="31" customWidth="1"/>
    <col min="10254" max="10495" width="9.140625" style="31"/>
    <col min="10496" max="10496" width="6.5703125" style="31" customWidth="1"/>
    <col min="10497" max="10497" width="35.28515625" style="31" customWidth="1"/>
    <col min="10498" max="10498" width="14" style="31" customWidth="1"/>
    <col min="10499" max="10499" width="11.42578125" style="31" customWidth="1"/>
    <col min="10500" max="10500" width="21.7109375" style="31" customWidth="1"/>
    <col min="10501" max="10501" width="13.7109375" style="31" customWidth="1"/>
    <col min="10502" max="10502" width="14.85546875" style="31" customWidth="1"/>
    <col min="10503" max="10503" width="19.5703125" style="31" customWidth="1"/>
    <col min="10504" max="10504" width="13.7109375" style="31" customWidth="1"/>
    <col min="10505" max="10505" width="14.7109375" style="31" customWidth="1"/>
    <col min="10506" max="10507" width="14.140625" style="31" customWidth="1"/>
    <col min="10508" max="10508" width="15.140625" style="31" customWidth="1"/>
    <col min="10509" max="10509" width="21.5703125" style="31" customWidth="1"/>
    <col min="10510" max="10751" width="9.140625" style="31"/>
    <col min="10752" max="10752" width="6.5703125" style="31" customWidth="1"/>
    <col min="10753" max="10753" width="35.28515625" style="31" customWidth="1"/>
    <col min="10754" max="10754" width="14" style="31" customWidth="1"/>
    <col min="10755" max="10755" width="11.42578125" style="31" customWidth="1"/>
    <col min="10756" max="10756" width="21.7109375" style="31" customWidth="1"/>
    <col min="10757" max="10757" width="13.7109375" style="31" customWidth="1"/>
    <col min="10758" max="10758" width="14.85546875" style="31" customWidth="1"/>
    <col min="10759" max="10759" width="19.5703125" style="31" customWidth="1"/>
    <col min="10760" max="10760" width="13.7109375" style="31" customWidth="1"/>
    <col min="10761" max="10761" width="14.7109375" style="31" customWidth="1"/>
    <col min="10762" max="10763" width="14.140625" style="31" customWidth="1"/>
    <col min="10764" max="10764" width="15.140625" style="31" customWidth="1"/>
    <col min="10765" max="10765" width="21.5703125" style="31" customWidth="1"/>
    <col min="10766" max="11007" width="9.140625" style="31"/>
    <col min="11008" max="11008" width="6.5703125" style="31" customWidth="1"/>
    <col min="11009" max="11009" width="35.28515625" style="31" customWidth="1"/>
    <col min="11010" max="11010" width="14" style="31" customWidth="1"/>
    <col min="11011" max="11011" width="11.42578125" style="31" customWidth="1"/>
    <col min="11012" max="11012" width="21.7109375" style="31" customWidth="1"/>
    <col min="11013" max="11013" width="13.7109375" style="31" customWidth="1"/>
    <col min="11014" max="11014" width="14.85546875" style="31" customWidth="1"/>
    <col min="11015" max="11015" width="19.5703125" style="31" customWidth="1"/>
    <col min="11016" max="11016" width="13.7109375" style="31" customWidth="1"/>
    <col min="11017" max="11017" width="14.7109375" style="31" customWidth="1"/>
    <col min="11018" max="11019" width="14.140625" style="31" customWidth="1"/>
    <col min="11020" max="11020" width="15.140625" style="31" customWidth="1"/>
    <col min="11021" max="11021" width="21.5703125" style="31" customWidth="1"/>
    <col min="11022" max="11263" width="9.140625" style="31"/>
    <col min="11264" max="11264" width="6.5703125" style="31" customWidth="1"/>
    <col min="11265" max="11265" width="35.28515625" style="31" customWidth="1"/>
    <col min="11266" max="11266" width="14" style="31" customWidth="1"/>
    <col min="11267" max="11267" width="11.42578125" style="31" customWidth="1"/>
    <col min="11268" max="11268" width="21.7109375" style="31" customWidth="1"/>
    <col min="11269" max="11269" width="13.7109375" style="31" customWidth="1"/>
    <col min="11270" max="11270" width="14.85546875" style="31" customWidth="1"/>
    <col min="11271" max="11271" width="19.5703125" style="31" customWidth="1"/>
    <col min="11272" max="11272" width="13.7109375" style="31" customWidth="1"/>
    <col min="11273" max="11273" width="14.7109375" style="31" customWidth="1"/>
    <col min="11274" max="11275" width="14.140625" style="31" customWidth="1"/>
    <col min="11276" max="11276" width="15.140625" style="31" customWidth="1"/>
    <col min="11277" max="11277" width="21.5703125" style="31" customWidth="1"/>
    <col min="11278" max="11519" width="9.140625" style="31"/>
    <col min="11520" max="11520" width="6.5703125" style="31" customWidth="1"/>
    <col min="11521" max="11521" width="35.28515625" style="31" customWidth="1"/>
    <col min="11522" max="11522" width="14" style="31" customWidth="1"/>
    <col min="11523" max="11523" width="11.42578125" style="31" customWidth="1"/>
    <col min="11524" max="11524" width="21.7109375" style="31" customWidth="1"/>
    <col min="11525" max="11525" width="13.7109375" style="31" customWidth="1"/>
    <col min="11526" max="11526" width="14.85546875" style="31" customWidth="1"/>
    <col min="11527" max="11527" width="19.5703125" style="31" customWidth="1"/>
    <col min="11528" max="11528" width="13.7109375" style="31" customWidth="1"/>
    <col min="11529" max="11529" width="14.7109375" style="31" customWidth="1"/>
    <col min="11530" max="11531" width="14.140625" style="31" customWidth="1"/>
    <col min="11532" max="11532" width="15.140625" style="31" customWidth="1"/>
    <col min="11533" max="11533" width="21.5703125" style="31" customWidth="1"/>
    <col min="11534" max="11775" width="9.140625" style="31"/>
    <col min="11776" max="11776" width="6.5703125" style="31" customWidth="1"/>
    <col min="11777" max="11777" width="35.28515625" style="31" customWidth="1"/>
    <col min="11778" max="11778" width="14" style="31" customWidth="1"/>
    <col min="11779" max="11779" width="11.42578125" style="31" customWidth="1"/>
    <col min="11780" max="11780" width="21.7109375" style="31" customWidth="1"/>
    <col min="11781" max="11781" width="13.7109375" style="31" customWidth="1"/>
    <col min="11782" max="11782" width="14.85546875" style="31" customWidth="1"/>
    <col min="11783" max="11783" width="19.5703125" style="31" customWidth="1"/>
    <col min="11784" max="11784" width="13.7109375" style="31" customWidth="1"/>
    <col min="11785" max="11785" width="14.7109375" style="31" customWidth="1"/>
    <col min="11786" max="11787" width="14.140625" style="31" customWidth="1"/>
    <col min="11788" max="11788" width="15.140625" style="31" customWidth="1"/>
    <col min="11789" max="11789" width="21.5703125" style="31" customWidth="1"/>
    <col min="11790" max="12031" width="9.140625" style="31"/>
    <col min="12032" max="12032" width="6.5703125" style="31" customWidth="1"/>
    <col min="12033" max="12033" width="35.28515625" style="31" customWidth="1"/>
    <col min="12034" max="12034" width="14" style="31" customWidth="1"/>
    <col min="12035" max="12035" width="11.42578125" style="31" customWidth="1"/>
    <col min="12036" max="12036" width="21.7109375" style="31" customWidth="1"/>
    <col min="12037" max="12037" width="13.7109375" style="31" customWidth="1"/>
    <col min="12038" max="12038" width="14.85546875" style="31" customWidth="1"/>
    <col min="12039" max="12039" width="19.5703125" style="31" customWidth="1"/>
    <col min="12040" max="12040" width="13.7109375" style="31" customWidth="1"/>
    <col min="12041" max="12041" width="14.7109375" style="31" customWidth="1"/>
    <col min="12042" max="12043" width="14.140625" style="31" customWidth="1"/>
    <col min="12044" max="12044" width="15.140625" style="31" customWidth="1"/>
    <col min="12045" max="12045" width="21.5703125" style="31" customWidth="1"/>
    <col min="12046" max="12287" width="9.140625" style="31"/>
    <col min="12288" max="12288" width="6.5703125" style="31" customWidth="1"/>
    <col min="12289" max="12289" width="35.28515625" style="31" customWidth="1"/>
    <col min="12290" max="12290" width="14" style="31" customWidth="1"/>
    <col min="12291" max="12291" width="11.42578125" style="31" customWidth="1"/>
    <col min="12292" max="12292" width="21.7109375" style="31" customWidth="1"/>
    <col min="12293" max="12293" width="13.7109375" style="31" customWidth="1"/>
    <col min="12294" max="12294" width="14.85546875" style="31" customWidth="1"/>
    <col min="12295" max="12295" width="19.5703125" style="31" customWidth="1"/>
    <col min="12296" max="12296" width="13.7109375" style="31" customWidth="1"/>
    <col min="12297" max="12297" width="14.7109375" style="31" customWidth="1"/>
    <col min="12298" max="12299" width="14.140625" style="31" customWidth="1"/>
    <col min="12300" max="12300" width="15.140625" style="31" customWidth="1"/>
    <col min="12301" max="12301" width="21.5703125" style="31" customWidth="1"/>
    <col min="12302" max="12543" width="9.140625" style="31"/>
    <col min="12544" max="12544" width="6.5703125" style="31" customWidth="1"/>
    <col min="12545" max="12545" width="35.28515625" style="31" customWidth="1"/>
    <col min="12546" max="12546" width="14" style="31" customWidth="1"/>
    <col min="12547" max="12547" width="11.42578125" style="31" customWidth="1"/>
    <col min="12548" max="12548" width="21.7109375" style="31" customWidth="1"/>
    <col min="12549" max="12549" width="13.7109375" style="31" customWidth="1"/>
    <col min="12550" max="12550" width="14.85546875" style="31" customWidth="1"/>
    <col min="12551" max="12551" width="19.5703125" style="31" customWidth="1"/>
    <col min="12552" max="12552" width="13.7109375" style="31" customWidth="1"/>
    <col min="12553" max="12553" width="14.7109375" style="31" customWidth="1"/>
    <col min="12554" max="12555" width="14.140625" style="31" customWidth="1"/>
    <col min="12556" max="12556" width="15.140625" style="31" customWidth="1"/>
    <col min="12557" max="12557" width="21.5703125" style="31" customWidth="1"/>
    <col min="12558" max="12799" width="9.140625" style="31"/>
    <col min="12800" max="12800" width="6.5703125" style="31" customWidth="1"/>
    <col min="12801" max="12801" width="35.28515625" style="31" customWidth="1"/>
    <col min="12802" max="12802" width="14" style="31" customWidth="1"/>
    <col min="12803" max="12803" width="11.42578125" style="31" customWidth="1"/>
    <col min="12804" max="12804" width="21.7109375" style="31" customWidth="1"/>
    <col min="12805" max="12805" width="13.7109375" style="31" customWidth="1"/>
    <col min="12806" max="12806" width="14.85546875" style="31" customWidth="1"/>
    <col min="12807" max="12807" width="19.5703125" style="31" customWidth="1"/>
    <col min="12808" max="12808" width="13.7109375" style="31" customWidth="1"/>
    <col min="12809" max="12809" width="14.7109375" style="31" customWidth="1"/>
    <col min="12810" max="12811" width="14.140625" style="31" customWidth="1"/>
    <col min="12812" max="12812" width="15.140625" style="31" customWidth="1"/>
    <col min="12813" max="12813" width="21.5703125" style="31" customWidth="1"/>
    <col min="12814" max="13055" width="9.140625" style="31"/>
    <col min="13056" max="13056" width="6.5703125" style="31" customWidth="1"/>
    <col min="13057" max="13057" width="35.28515625" style="31" customWidth="1"/>
    <col min="13058" max="13058" width="14" style="31" customWidth="1"/>
    <col min="13059" max="13059" width="11.42578125" style="31" customWidth="1"/>
    <col min="13060" max="13060" width="21.7109375" style="31" customWidth="1"/>
    <col min="13061" max="13061" width="13.7109375" style="31" customWidth="1"/>
    <col min="13062" max="13062" width="14.85546875" style="31" customWidth="1"/>
    <col min="13063" max="13063" width="19.5703125" style="31" customWidth="1"/>
    <col min="13064" max="13064" width="13.7109375" style="31" customWidth="1"/>
    <col min="13065" max="13065" width="14.7109375" style="31" customWidth="1"/>
    <col min="13066" max="13067" width="14.140625" style="31" customWidth="1"/>
    <col min="13068" max="13068" width="15.140625" style="31" customWidth="1"/>
    <col min="13069" max="13069" width="21.5703125" style="31" customWidth="1"/>
    <col min="13070" max="13311" width="9.140625" style="31"/>
    <col min="13312" max="13312" width="6.5703125" style="31" customWidth="1"/>
    <col min="13313" max="13313" width="35.28515625" style="31" customWidth="1"/>
    <col min="13314" max="13314" width="14" style="31" customWidth="1"/>
    <col min="13315" max="13315" width="11.42578125" style="31" customWidth="1"/>
    <col min="13316" max="13316" width="21.7109375" style="31" customWidth="1"/>
    <col min="13317" max="13317" width="13.7109375" style="31" customWidth="1"/>
    <col min="13318" max="13318" width="14.85546875" style="31" customWidth="1"/>
    <col min="13319" max="13319" width="19.5703125" style="31" customWidth="1"/>
    <col min="13320" max="13320" width="13.7109375" style="31" customWidth="1"/>
    <col min="13321" max="13321" width="14.7109375" style="31" customWidth="1"/>
    <col min="13322" max="13323" width="14.140625" style="31" customWidth="1"/>
    <col min="13324" max="13324" width="15.140625" style="31" customWidth="1"/>
    <col min="13325" max="13325" width="21.5703125" style="31" customWidth="1"/>
    <col min="13326" max="13567" width="9.140625" style="31"/>
    <col min="13568" max="13568" width="6.5703125" style="31" customWidth="1"/>
    <col min="13569" max="13569" width="35.28515625" style="31" customWidth="1"/>
    <col min="13570" max="13570" width="14" style="31" customWidth="1"/>
    <col min="13571" max="13571" width="11.42578125" style="31" customWidth="1"/>
    <col min="13572" max="13572" width="21.7109375" style="31" customWidth="1"/>
    <col min="13573" max="13573" width="13.7109375" style="31" customWidth="1"/>
    <col min="13574" max="13574" width="14.85546875" style="31" customWidth="1"/>
    <col min="13575" max="13575" width="19.5703125" style="31" customWidth="1"/>
    <col min="13576" max="13576" width="13.7109375" style="31" customWidth="1"/>
    <col min="13577" max="13577" width="14.7109375" style="31" customWidth="1"/>
    <col min="13578" max="13579" width="14.140625" style="31" customWidth="1"/>
    <col min="13580" max="13580" width="15.140625" style="31" customWidth="1"/>
    <col min="13581" max="13581" width="21.5703125" style="31" customWidth="1"/>
    <col min="13582" max="13823" width="9.140625" style="31"/>
    <col min="13824" max="13824" width="6.5703125" style="31" customWidth="1"/>
    <col min="13825" max="13825" width="35.28515625" style="31" customWidth="1"/>
    <col min="13826" max="13826" width="14" style="31" customWidth="1"/>
    <col min="13827" max="13827" width="11.42578125" style="31" customWidth="1"/>
    <col min="13828" max="13828" width="21.7109375" style="31" customWidth="1"/>
    <col min="13829" max="13829" width="13.7109375" style="31" customWidth="1"/>
    <col min="13830" max="13830" width="14.85546875" style="31" customWidth="1"/>
    <col min="13831" max="13831" width="19.5703125" style="31" customWidth="1"/>
    <col min="13832" max="13832" width="13.7109375" style="31" customWidth="1"/>
    <col min="13833" max="13833" width="14.7109375" style="31" customWidth="1"/>
    <col min="13834" max="13835" width="14.140625" style="31" customWidth="1"/>
    <col min="13836" max="13836" width="15.140625" style="31" customWidth="1"/>
    <col min="13837" max="13837" width="21.5703125" style="31" customWidth="1"/>
    <col min="13838" max="14079" width="9.140625" style="31"/>
    <col min="14080" max="14080" width="6.5703125" style="31" customWidth="1"/>
    <col min="14081" max="14081" width="35.28515625" style="31" customWidth="1"/>
    <col min="14082" max="14082" width="14" style="31" customWidth="1"/>
    <col min="14083" max="14083" width="11.42578125" style="31" customWidth="1"/>
    <col min="14084" max="14084" width="21.7109375" style="31" customWidth="1"/>
    <col min="14085" max="14085" width="13.7109375" style="31" customWidth="1"/>
    <col min="14086" max="14086" width="14.85546875" style="31" customWidth="1"/>
    <col min="14087" max="14087" width="19.5703125" style="31" customWidth="1"/>
    <col min="14088" max="14088" width="13.7109375" style="31" customWidth="1"/>
    <col min="14089" max="14089" width="14.7109375" style="31" customWidth="1"/>
    <col min="14090" max="14091" width="14.140625" style="31" customWidth="1"/>
    <col min="14092" max="14092" width="15.140625" style="31" customWidth="1"/>
    <col min="14093" max="14093" width="21.5703125" style="31" customWidth="1"/>
    <col min="14094" max="14335" width="9.140625" style="31"/>
    <col min="14336" max="14336" width="6.5703125" style="31" customWidth="1"/>
    <col min="14337" max="14337" width="35.28515625" style="31" customWidth="1"/>
    <col min="14338" max="14338" width="14" style="31" customWidth="1"/>
    <col min="14339" max="14339" width="11.42578125" style="31" customWidth="1"/>
    <col min="14340" max="14340" width="21.7109375" style="31" customWidth="1"/>
    <col min="14341" max="14341" width="13.7109375" style="31" customWidth="1"/>
    <col min="14342" max="14342" width="14.85546875" style="31" customWidth="1"/>
    <col min="14343" max="14343" width="19.5703125" style="31" customWidth="1"/>
    <col min="14344" max="14344" width="13.7109375" style="31" customWidth="1"/>
    <col min="14345" max="14345" width="14.7109375" style="31" customWidth="1"/>
    <col min="14346" max="14347" width="14.140625" style="31" customWidth="1"/>
    <col min="14348" max="14348" width="15.140625" style="31" customWidth="1"/>
    <col min="14349" max="14349" width="21.5703125" style="31" customWidth="1"/>
    <col min="14350" max="14591" width="9.140625" style="31"/>
    <col min="14592" max="14592" width="6.5703125" style="31" customWidth="1"/>
    <col min="14593" max="14593" width="35.28515625" style="31" customWidth="1"/>
    <col min="14594" max="14594" width="14" style="31" customWidth="1"/>
    <col min="14595" max="14595" width="11.42578125" style="31" customWidth="1"/>
    <col min="14596" max="14596" width="21.7109375" style="31" customWidth="1"/>
    <col min="14597" max="14597" width="13.7109375" style="31" customWidth="1"/>
    <col min="14598" max="14598" width="14.85546875" style="31" customWidth="1"/>
    <col min="14599" max="14599" width="19.5703125" style="31" customWidth="1"/>
    <col min="14600" max="14600" width="13.7109375" style="31" customWidth="1"/>
    <col min="14601" max="14601" width="14.7109375" style="31" customWidth="1"/>
    <col min="14602" max="14603" width="14.140625" style="31" customWidth="1"/>
    <col min="14604" max="14604" width="15.140625" style="31" customWidth="1"/>
    <col min="14605" max="14605" width="21.5703125" style="31" customWidth="1"/>
    <col min="14606" max="14847" width="9.140625" style="31"/>
    <col min="14848" max="14848" width="6.5703125" style="31" customWidth="1"/>
    <col min="14849" max="14849" width="35.28515625" style="31" customWidth="1"/>
    <col min="14850" max="14850" width="14" style="31" customWidth="1"/>
    <col min="14851" max="14851" width="11.42578125" style="31" customWidth="1"/>
    <col min="14852" max="14852" width="21.7109375" style="31" customWidth="1"/>
    <col min="14853" max="14853" width="13.7109375" style="31" customWidth="1"/>
    <col min="14854" max="14854" width="14.85546875" style="31" customWidth="1"/>
    <col min="14855" max="14855" width="19.5703125" style="31" customWidth="1"/>
    <col min="14856" max="14856" width="13.7109375" style="31" customWidth="1"/>
    <col min="14857" max="14857" width="14.7109375" style="31" customWidth="1"/>
    <col min="14858" max="14859" width="14.140625" style="31" customWidth="1"/>
    <col min="14860" max="14860" width="15.140625" style="31" customWidth="1"/>
    <col min="14861" max="14861" width="21.5703125" style="31" customWidth="1"/>
    <col min="14862" max="15103" width="9.140625" style="31"/>
    <col min="15104" max="15104" width="6.5703125" style="31" customWidth="1"/>
    <col min="15105" max="15105" width="35.28515625" style="31" customWidth="1"/>
    <col min="15106" max="15106" width="14" style="31" customWidth="1"/>
    <col min="15107" max="15107" width="11.42578125" style="31" customWidth="1"/>
    <col min="15108" max="15108" width="21.7109375" style="31" customWidth="1"/>
    <col min="15109" max="15109" width="13.7109375" style="31" customWidth="1"/>
    <col min="15110" max="15110" width="14.85546875" style="31" customWidth="1"/>
    <col min="15111" max="15111" width="19.5703125" style="31" customWidth="1"/>
    <col min="15112" max="15112" width="13.7109375" style="31" customWidth="1"/>
    <col min="15113" max="15113" width="14.7109375" style="31" customWidth="1"/>
    <col min="15114" max="15115" width="14.140625" style="31" customWidth="1"/>
    <col min="15116" max="15116" width="15.140625" style="31" customWidth="1"/>
    <col min="15117" max="15117" width="21.5703125" style="31" customWidth="1"/>
    <col min="15118" max="15359" width="9.140625" style="31"/>
    <col min="15360" max="15360" width="6.5703125" style="31" customWidth="1"/>
    <col min="15361" max="15361" width="35.28515625" style="31" customWidth="1"/>
    <col min="15362" max="15362" width="14" style="31" customWidth="1"/>
    <col min="15363" max="15363" width="11.42578125" style="31" customWidth="1"/>
    <col min="15364" max="15364" width="21.7109375" style="31" customWidth="1"/>
    <col min="15365" max="15365" width="13.7109375" style="31" customWidth="1"/>
    <col min="15366" max="15366" width="14.85546875" style="31" customWidth="1"/>
    <col min="15367" max="15367" width="19.5703125" style="31" customWidth="1"/>
    <col min="15368" max="15368" width="13.7109375" style="31" customWidth="1"/>
    <col min="15369" max="15369" width="14.7109375" style="31" customWidth="1"/>
    <col min="15370" max="15371" width="14.140625" style="31" customWidth="1"/>
    <col min="15372" max="15372" width="15.140625" style="31" customWidth="1"/>
    <col min="15373" max="15373" width="21.5703125" style="31" customWidth="1"/>
    <col min="15374" max="15615" width="9.140625" style="31"/>
    <col min="15616" max="15616" width="6.5703125" style="31" customWidth="1"/>
    <col min="15617" max="15617" width="35.28515625" style="31" customWidth="1"/>
    <col min="15618" max="15618" width="14" style="31" customWidth="1"/>
    <col min="15619" max="15619" width="11.42578125" style="31" customWidth="1"/>
    <col min="15620" max="15620" width="21.7109375" style="31" customWidth="1"/>
    <col min="15621" max="15621" width="13.7109375" style="31" customWidth="1"/>
    <col min="15622" max="15622" width="14.85546875" style="31" customWidth="1"/>
    <col min="15623" max="15623" width="19.5703125" style="31" customWidth="1"/>
    <col min="15624" max="15624" width="13.7109375" style="31" customWidth="1"/>
    <col min="15625" max="15625" width="14.7109375" style="31" customWidth="1"/>
    <col min="15626" max="15627" width="14.140625" style="31" customWidth="1"/>
    <col min="15628" max="15628" width="15.140625" style="31" customWidth="1"/>
    <col min="15629" max="15629" width="21.5703125" style="31" customWidth="1"/>
    <col min="15630" max="15871" width="9.140625" style="31"/>
    <col min="15872" max="15872" width="6.5703125" style="31" customWidth="1"/>
    <col min="15873" max="15873" width="35.28515625" style="31" customWidth="1"/>
    <col min="15874" max="15874" width="14" style="31" customWidth="1"/>
    <col min="15875" max="15875" width="11.42578125" style="31" customWidth="1"/>
    <col min="15876" max="15876" width="21.7109375" style="31" customWidth="1"/>
    <col min="15877" max="15877" width="13.7109375" style="31" customWidth="1"/>
    <col min="15878" max="15878" width="14.85546875" style="31" customWidth="1"/>
    <col min="15879" max="15879" width="19.5703125" style="31" customWidth="1"/>
    <col min="15880" max="15880" width="13.7109375" style="31" customWidth="1"/>
    <col min="15881" max="15881" width="14.7109375" style="31" customWidth="1"/>
    <col min="15882" max="15883" width="14.140625" style="31" customWidth="1"/>
    <col min="15884" max="15884" width="15.140625" style="31" customWidth="1"/>
    <col min="15885" max="15885" width="21.5703125" style="31" customWidth="1"/>
    <col min="15886" max="16127" width="9.140625" style="31"/>
    <col min="16128" max="16128" width="6.5703125" style="31" customWidth="1"/>
    <col min="16129" max="16129" width="35.28515625" style="31" customWidth="1"/>
    <col min="16130" max="16130" width="14" style="31" customWidth="1"/>
    <col min="16131" max="16131" width="11.42578125" style="31" customWidth="1"/>
    <col min="16132" max="16132" width="21.7109375" style="31" customWidth="1"/>
    <col min="16133" max="16133" width="13.7109375" style="31" customWidth="1"/>
    <col min="16134" max="16134" width="14.85546875" style="31" customWidth="1"/>
    <col min="16135" max="16135" width="19.5703125" style="31" customWidth="1"/>
    <col min="16136" max="16136" width="13.7109375" style="31" customWidth="1"/>
    <col min="16137" max="16137" width="14.7109375" style="31" customWidth="1"/>
    <col min="16138" max="16139" width="14.140625" style="31" customWidth="1"/>
    <col min="16140" max="16140" width="15.140625" style="31" customWidth="1"/>
    <col min="16141" max="16141" width="21.5703125" style="31" customWidth="1"/>
    <col min="16142" max="16384" width="9.140625" style="31"/>
  </cols>
  <sheetData>
    <row r="1" spans="1:13" ht="54" customHeight="1" x14ac:dyDescent="0.25">
      <c r="A1" s="199" t="str">
        <f>'Подпрограмма 3'!A1:U1</f>
        <v>Отчет об использовании денежных средств в рамках исполнения мероприятий подпрограммы 3 "Обеспечение населения муниципального района "Заполярный район" чистой водой"
муниципальной программы "Комплексное развитие поселений муниципального района "Заполярный район" на 2017-2019 годы"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24" customHeight="1" x14ac:dyDescent="0.25">
      <c r="A2" s="199" t="str">
        <f>'Подпрограмма 1'!A2:O2</f>
        <v>по состоянию на 01 января 2018  года (с начала года нарастающим итогом)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</row>
    <row r="3" spans="1:13" ht="24" customHeight="1" x14ac:dyDescent="0.25">
      <c r="A3" s="193" t="s">
        <v>236</v>
      </c>
      <c r="B3" s="193" t="s">
        <v>237</v>
      </c>
      <c r="C3" s="200" t="s">
        <v>238</v>
      </c>
      <c r="D3" s="201"/>
      <c r="E3" s="193" t="s">
        <v>239</v>
      </c>
      <c r="F3" s="193" t="s">
        <v>240</v>
      </c>
      <c r="G3" s="193" t="s">
        <v>241</v>
      </c>
      <c r="H3" s="193" t="s">
        <v>242</v>
      </c>
      <c r="I3" s="194" t="s">
        <v>491</v>
      </c>
      <c r="J3" s="194" t="s">
        <v>244</v>
      </c>
      <c r="K3" s="193" t="s">
        <v>245</v>
      </c>
      <c r="L3" s="193"/>
      <c r="M3" s="193"/>
    </row>
    <row r="4" spans="1:13" ht="15" customHeight="1" x14ac:dyDescent="0.25">
      <c r="A4" s="193"/>
      <c r="B4" s="193"/>
      <c r="C4" s="194" t="s">
        <v>246</v>
      </c>
      <c r="D4" s="194" t="s">
        <v>247</v>
      </c>
      <c r="E4" s="193"/>
      <c r="F4" s="193"/>
      <c r="G4" s="193"/>
      <c r="H4" s="193"/>
      <c r="I4" s="202"/>
      <c r="J4" s="202"/>
      <c r="K4" s="193" t="s">
        <v>248</v>
      </c>
      <c r="L4" s="194" t="s">
        <v>249</v>
      </c>
      <c r="M4" s="193" t="s">
        <v>250</v>
      </c>
    </row>
    <row r="5" spans="1:13" ht="31.5" customHeight="1" x14ac:dyDescent="0.25">
      <c r="A5" s="193"/>
      <c r="B5" s="193"/>
      <c r="C5" s="195"/>
      <c r="D5" s="195"/>
      <c r="E5" s="193"/>
      <c r="F5" s="193"/>
      <c r="G5" s="193"/>
      <c r="H5" s="193"/>
      <c r="I5" s="195"/>
      <c r="J5" s="195"/>
      <c r="K5" s="193"/>
      <c r="L5" s="195"/>
      <c r="M5" s="193"/>
    </row>
    <row r="6" spans="1:13" x14ac:dyDescent="0.25">
      <c r="A6" s="32">
        <v>1</v>
      </c>
      <c r="B6" s="32">
        <v>2</v>
      </c>
      <c r="C6" s="32">
        <f>B6+1</f>
        <v>3</v>
      </c>
      <c r="D6" s="32">
        <f t="shared" ref="D6:K6" si="0">C6+1</f>
        <v>4</v>
      </c>
      <c r="E6" s="32">
        <f t="shared" si="0"/>
        <v>5</v>
      </c>
      <c r="F6" s="32">
        <f t="shared" si="0"/>
        <v>6</v>
      </c>
      <c r="G6" s="32">
        <f t="shared" si="0"/>
        <v>7</v>
      </c>
      <c r="H6" s="32">
        <f t="shared" si="0"/>
        <v>8</v>
      </c>
      <c r="I6" s="32">
        <f t="shared" si="0"/>
        <v>9</v>
      </c>
      <c r="J6" s="32">
        <f t="shared" si="0"/>
        <v>10</v>
      </c>
      <c r="K6" s="32">
        <f t="shared" si="0"/>
        <v>11</v>
      </c>
      <c r="L6" s="32">
        <v>12</v>
      </c>
      <c r="M6" s="32">
        <v>13</v>
      </c>
    </row>
    <row r="7" spans="1:13" s="118" customFormat="1" ht="189" x14ac:dyDescent="0.25">
      <c r="A7" s="117">
        <v>1</v>
      </c>
      <c r="B7" s="61" t="str">
        <f>'Подпрограмма 3'!B7</f>
        <v xml:space="preserve">Отбор проб и исследования воды водных объектов: 
п. Каратайка, с. Несь, п. Бугрино, с. Коткино, д. Пылемец, д. Снопа, п. Выучейский, п. Индига, с. Нижняя Пеша, д. Верхняя Пеша, п. Усть-Кара, 
с. Ома, д. Щелино, д. Волоковая, д. Кия, д. Макарово, д. Верхняя Мгла, д. Белушье, д. Вижас, д. Волонга
</v>
      </c>
      <c r="C7" s="117"/>
      <c r="D7" s="117"/>
      <c r="E7" s="61" t="s">
        <v>422</v>
      </c>
      <c r="F7" s="61" t="s">
        <v>423</v>
      </c>
      <c r="G7" s="61" t="s">
        <v>424</v>
      </c>
      <c r="H7" s="62">
        <v>43100</v>
      </c>
      <c r="I7" s="120">
        <v>1597.65</v>
      </c>
      <c r="J7" s="117"/>
      <c r="K7" s="121">
        <f>M7</f>
        <v>1960.0099999999998</v>
      </c>
      <c r="L7" s="117"/>
      <c r="M7" s="121">
        <f>'Подпрограмма 3'!O7</f>
        <v>1960.0099999999998</v>
      </c>
    </row>
    <row r="8" spans="1:13" ht="54" customHeight="1" x14ac:dyDescent="0.25">
      <c r="A8" s="117">
        <v>2</v>
      </c>
      <c r="B8" s="52" t="str">
        <f>'Подпрограмма 3'!B9</f>
        <v>Строительство очистных сооружений производительностью 2500 куб. м в сутки в п. Искателей</v>
      </c>
      <c r="C8" s="42"/>
      <c r="D8" s="42"/>
      <c r="E8" s="36" t="s">
        <v>268</v>
      </c>
      <c r="F8" s="36" t="s">
        <v>269</v>
      </c>
      <c r="G8" s="36" t="s">
        <v>3</v>
      </c>
      <c r="H8" s="37">
        <v>42278</v>
      </c>
      <c r="I8" s="54">
        <v>406765.35</v>
      </c>
      <c r="J8" s="38"/>
      <c r="K8" s="39">
        <f>361975.7+M8</f>
        <v>374051.60000000003</v>
      </c>
      <c r="L8" s="39"/>
      <c r="M8" s="36">
        <f>'Подпрограмма 3'!O9</f>
        <v>12075.9</v>
      </c>
    </row>
    <row r="9" spans="1:13" ht="61.5" customHeight="1" x14ac:dyDescent="0.25">
      <c r="A9" s="117">
        <v>3</v>
      </c>
      <c r="B9" s="52" t="str">
        <f>'Подпрограмма 3'!B10</f>
        <v>Монтаж и обвязка станции очистки воды в с. Нижняя Пеша</v>
      </c>
      <c r="C9" s="210" t="s">
        <v>61</v>
      </c>
      <c r="D9" s="210"/>
      <c r="E9" s="210"/>
      <c r="F9" s="210"/>
      <c r="G9" s="210"/>
      <c r="H9" s="210"/>
      <c r="I9" s="116">
        <v>1435.9</v>
      </c>
      <c r="J9" s="38"/>
      <c r="K9" s="39">
        <f t="shared" ref="K9:K11" si="1">M9</f>
        <v>1435.94</v>
      </c>
      <c r="L9" s="39"/>
      <c r="M9" s="36">
        <f>'Подпрограмма 3'!O10</f>
        <v>1435.94</v>
      </c>
    </row>
    <row r="10" spans="1:13" ht="61.5" customHeight="1" x14ac:dyDescent="0.25">
      <c r="A10" s="117">
        <v>4</v>
      </c>
      <c r="B10" s="52" t="str">
        <f>'Подпрограмма 3'!B11</f>
        <v>Проведение ремонтно-восстановительных работ на станции очистки воды (БВПУ) в д. Лабожское</v>
      </c>
      <c r="C10" s="108"/>
      <c r="D10" s="108"/>
      <c r="E10" s="210" t="s">
        <v>61</v>
      </c>
      <c r="F10" s="210"/>
      <c r="G10" s="210"/>
      <c r="H10" s="210"/>
      <c r="I10" s="116">
        <v>1230.5</v>
      </c>
      <c r="J10" s="38"/>
      <c r="K10" s="39">
        <f t="shared" si="1"/>
        <v>1230.5</v>
      </c>
      <c r="L10" s="39"/>
      <c r="M10" s="36">
        <f>'Подпрограмма 3'!O11</f>
        <v>1230.5</v>
      </c>
    </row>
    <row r="11" spans="1:13" ht="61.5" customHeight="1" x14ac:dyDescent="0.25">
      <c r="A11" s="119" t="s">
        <v>457</v>
      </c>
      <c r="B11" s="52" t="str">
        <f>'Подпрограмма 3'!B12</f>
        <v>Проведение ремонтно-восстановительных работ на станции очистки воды (БВПУ) в п. Индига</v>
      </c>
      <c r="C11" s="49"/>
      <c r="D11" s="49"/>
      <c r="E11" s="210" t="s">
        <v>61</v>
      </c>
      <c r="F11" s="210"/>
      <c r="G11" s="210"/>
      <c r="H11" s="210"/>
      <c r="I11" s="116"/>
      <c r="J11" s="38"/>
      <c r="K11" s="39" t="str">
        <f t="shared" si="1"/>
        <v>-</v>
      </c>
      <c r="L11" s="39"/>
      <c r="M11" s="36" t="str">
        <f>'Подпрограмма 3'!O12</f>
        <v>-</v>
      </c>
    </row>
    <row r="12" spans="1:13" ht="15" customHeight="1" x14ac:dyDescent="0.25">
      <c r="A12" s="196" t="s">
        <v>259</v>
      </c>
      <c r="B12" s="197"/>
      <c r="C12" s="197"/>
      <c r="D12" s="197"/>
      <c r="E12" s="197"/>
      <c r="F12" s="197"/>
      <c r="G12" s="197"/>
      <c r="H12" s="197"/>
      <c r="I12" s="198"/>
      <c r="J12" s="44">
        <f>SUM(J7:J10)</f>
        <v>0</v>
      </c>
      <c r="K12" s="44">
        <f t="shared" ref="K12:M12" si="2">SUM(K7:K10)</f>
        <v>378678.05000000005</v>
      </c>
      <c r="L12" s="44">
        <f t="shared" si="2"/>
        <v>0</v>
      </c>
      <c r="M12" s="44">
        <f t="shared" si="2"/>
        <v>16702.349999999999</v>
      </c>
    </row>
  </sheetData>
  <mergeCells count="21">
    <mergeCell ref="A12:I12"/>
    <mergeCell ref="M4:M5"/>
    <mergeCell ref="D4:D5"/>
    <mergeCell ref="K4:K5"/>
    <mergeCell ref="L4:L5"/>
    <mergeCell ref="C9:H9"/>
    <mergeCell ref="E10:H10"/>
    <mergeCell ref="E11:H11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</mergeCells>
  <pageMargins left="0.15748031496062992" right="0.15748031496062992" top="0.23622047244094491" bottom="0.31496062992125984" header="0.94488188976377963" footer="0.31496062992125984"/>
  <pageSetup paperSize="9" scale="7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R50"/>
  <sheetViews>
    <sheetView topLeftCell="C34" zoomScale="90" zoomScaleNormal="90" zoomScaleSheetLayoutView="80" workbookViewId="0">
      <selection activeCell="L37" sqref="L37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5.7109375" style="1" customWidth="1"/>
    <col min="5" max="8" width="16.85546875" style="1" customWidth="1"/>
    <col min="9" max="9" width="14.85546875" style="132" customWidth="1"/>
    <col min="10" max="10" width="15.28515625" style="132" customWidth="1"/>
    <col min="11" max="11" width="16.42578125" style="132" customWidth="1"/>
    <col min="12" max="12" width="16.85546875" style="1" customWidth="1"/>
    <col min="13" max="13" width="14" style="132" customWidth="1"/>
    <col min="14" max="14" width="14.85546875" style="132" bestFit="1" customWidth="1"/>
    <col min="15" max="15" width="16.7109375" style="132" customWidth="1"/>
    <col min="16" max="16" width="16.85546875" style="1" customWidth="1"/>
    <col min="17" max="17" width="25.7109375" style="132" customWidth="1"/>
    <col min="18" max="18" width="26.140625" style="132" customWidth="1"/>
    <col min="19" max="16384" width="9.140625" style="1"/>
  </cols>
  <sheetData>
    <row r="1" spans="1:18" ht="51" customHeight="1" x14ac:dyDescent="0.25">
      <c r="A1" s="206" t="s">
        <v>108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</row>
    <row r="2" spans="1:18" ht="18.75" customHeight="1" x14ac:dyDescent="0.25">
      <c r="A2" s="207" t="s">
        <v>430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8"/>
    </row>
    <row r="3" spans="1:18" s="2" customFormat="1" ht="18" customHeight="1" x14ac:dyDescent="0.25">
      <c r="A3" s="178" t="s">
        <v>22</v>
      </c>
      <c r="B3" s="178" t="s">
        <v>20</v>
      </c>
      <c r="C3" s="178" t="s">
        <v>7</v>
      </c>
      <c r="D3" s="178" t="s">
        <v>21</v>
      </c>
      <c r="E3" s="190" t="s">
        <v>51</v>
      </c>
      <c r="F3" s="191"/>
      <c r="G3" s="191"/>
      <c r="H3" s="192"/>
      <c r="I3" s="215" t="s">
        <v>8</v>
      </c>
      <c r="J3" s="204"/>
      <c r="K3" s="204"/>
      <c r="L3" s="205"/>
      <c r="M3" s="203" t="s">
        <v>9</v>
      </c>
      <c r="N3" s="203"/>
      <c r="O3" s="203"/>
      <c r="P3" s="149"/>
      <c r="Q3" s="214" t="s">
        <v>459</v>
      </c>
      <c r="R3" s="214" t="s">
        <v>460</v>
      </c>
    </row>
    <row r="4" spans="1:18" s="2" customFormat="1" ht="66.75" customHeight="1" x14ac:dyDescent="0.25">
      <c r="A4" s="178"/>
      <c r="B4" s="178"/>
      <c r="C4" s="178"/>
      <c r="D4" s="178"/>
      <c r="E4" s="63" t="s">
        <v>1</v>
      </c>
      <c r="F4" s="63" t="s">
        <v>10</v>
      </c>
      <c r="G4" s="109" t="s">
        <v>11</v>
      </c>
      <c r="H4" s="127" t="s">
        <v>439</v>
      </c>
      <c r="I4" s="147" t="s">
        <v>1</v>
      </c>
      <c r="J4" s="147" t="s">
        <v>10</v>
      </c>
      <c r="K4" s="147" t="s">
        <v>11</v>
      </c>
      <c r="L4" s="148" t="s">
        <v>439</v>
      </c>
      <c r="M4" s="147" t="s">
        <v>1</v>
      </c>
      <c r="N4" s="147" t="s">
        <v>10</v>
      </c>
      <c r="O4" s="147" t="s">
        <v>11</v>
      </c>
      <c r="P4" s="148" t="s">
        <v>439</v>
      </c>
      <c r="Q4" s="214"/>
      <c r="R4" s="214"/>
    </row>
    <row r="5" spans="1:18" s="2" customFormat="1" ht="22.5" customHeight="1" x14ac:dyDescent="0.25">
      <c r="A5" s="63">
        <v>1</v>
      </c>
      <c r="B5" s="63">
        <v>2</v>
      </c>
      <c r="C5" s="63">
        <v>3</v>
      </c>
      <c r="D5" s="63">
        <v>4</v>
      </c>
      <c r="E5" s="63">
        <v>5</v>
      </c>
      <c r="F5" s="63">
        <v>6</v>
      </c>
      <c r="G5" s="109">
        <v>7</v>
      </c>
      <c r="H5" s="127">
        <v>8</v>
      </c>
      <c r="I5" s="147">
        <v>9</v>
      </c>
      <c r="J5" s="147">
        <f>I5+1</f>
        <v>10</v>
      </c>
      <c r="K5" s="147">
        <f>J5+1</f>
        <v>11</v>
      </c>
      <c r="L5" s="148">
        <v>12</v>
      </c>
      <c r="M5" s="147">
        <v>13</v>
      </c>
      <c r="N5" s="147">
        <f t="shared" ref="N5:R5" si="0">M5+1</f>
        <v>14</v>
      </c>
      <c r="O5" s="147">
        <f t="shared" si="0"/>
        <v>15</v>
      </c>
      <c r="P5" s="148">
        <v>16</v>
      </c>
      <c r="Q5" s="151">
        <v>17</v>
      </c>
      <c r="R5" s="151">
        <f t="shared" si="0"/>
        <v>18</v>
      </c>
    </row>
    <row r="6" spans="1:18" s="2" customFormat="1" ht="26.25" customHeight="1" x14ac:dyDescent="0.25">
      <c r="A6" s="93"/>
      <c r="B6" s="178" t="s">
        <v>109</v>
      </c>
      <c r="C6" s="178"/>
      <c r="D6" s="178"/>
      <c r="E6" s="112">
        <f t="shared" ref="E6" si="1">E7+E9+E10+E11+E12+E13+E14+E15+E16+E17+E18+E19</f>
        <v>79961.000000000029</v>
      </c>
      <c r="F6" s="112">
        <v>0</v>
      </c>
      <c r="G6" s="112">
        <f>G7+G9+G10+G11+G12+G13+G14+G15+G16+G17+G18+G19</f>
        <v>79879.000000000015</v>
      </c>
      <c r="H6" s="112">
        <f t="shared" ref="H6:P6" si="2">SUM(H7:H19)</f>
        <v>82</v>
      </c>
      <c r="I6" s="112">
        <f>SUM(I7:I19)</f>
        <v>37834.243419999992</v>
      </c>
      <c r="J6" s="112">
        <f t="shared" si="2"/>
        <v>0</v>
      </c>
      <c r="K6" s="112">
        <f t="shared" si="2"/>
        <v>37756.645019999996</v>
      </c>
      <c r="L6" s="112">
        <f>SUM(L7:L19)</f>
        <v>77.598400000000012</v>
      </c>
      <c r="M6" s="112">
        <f t="shared" si="2"/>
        <v>37834.243419999992</v>
      </c>
      <c r="N6" s="112">
        <f t="shared" si="2"/>
        <v>0</v>
      </c>
      <c r="O6" s="112">
        <f t="shared" si="2"/>
        <v>37756.645019999996</v>
      </c>
      <c r="P6" s="112">
        <f t="shared" si="2"/>
        <v>77.598400000000012</v>
      </c>
      <c r="Q6" s="80">
        <f>I6/E6</f>
        <v>0.47315870761996448</v>
      </c>
      <c r="R6" s="80">
        <f>M6/E6</f>
        <v>0.47315870761996448</v>
      </c>
    </row>
    <row r="7" spans="1:18" s="2" customFormat="1" ht="49.5" x14ac:dyDescent="0.25">
      <c r="A7" s="4" t="s">
        <v>12</v>
      </c>
      <c r="B7" s="16" t="s">
        <v>110</v>
      </c>
      <c r="C7" s="9" t="s">
        <v>39</v>
      </c>
      <c r="D7" s="9" t="s">
        <v>39</v>
      </c>
      <c r="E7" s="122">
        <f>G7</f>
        <v>58219</v>
      </c>
      <c r="F7" s="122" t="s">
        <v>19</v>
      </c>
      <c r="G7" s="122">
        <v>58219</v>
      </c>
      <c r="H7" s="150" t="s">
        <v>19</v>
      </c>
      <c r="I7" s="122">
        <f>K7</f>
        <v>21983.78775</v>
      </c>
      <c r="J7" s="122" t="s">
        <v>19</v>
      </c>
      <c r="K7" s="122">
        <f>16735.76961+5248.01814</f>
        <v>21983.78775</v>
      </c>
      <c r="L7" s="150" t="s">
        <v>19</v>
      </c>
      <c r="M7" s="122">
        <f t="shared" ref="M7:M12" si="3">O7</f>
        <v>21983.78775</v>
      </c>
      <c r="N7" s="122" t="s">
        <v>19</v>
      </c>
      <c r="O7" s="122">
        <f>K7</f>
        <v>21983.78775</v>
      </c>
      <c r="P7" s="150" t="s">
        <v>19</v>
      </c>
      <c r="Q7" s="79">
        <f>I7/E7</f>
        <v>0.37760503873305967</v>
      </c>
      <c r="R7" s="79">
        <f>M7/E7</f>
        <v>0.37760503873305967</v>
      </c>
    </row>
    <row r="8" spans="1:18" s="2" customFormat="1" x14ac:dyDescent="0.25">
      <c r="A8" s="22"/>
      <c r="B8" s="20" t="s">
        <v>316</v>
      </c>
      <c r="C8" s="21"/>
      <c r="D8" s="21"/>
      <c r="E8" s="122">
        <f t="shared" ref="E8:E12" si="4">G8</f>
        <v>1484.7</v>
      </c>
      <c r="F8" s="122" t="s">
        <v>19</v>
      </c>
      <c r="G8" s="122">
        <v>1484.7</v>
      </c>
      <c r="H8" s="122" t="str">
        <f t="shared" ref="H8:H12" si="5">J8</f>
        <v>-</v>
      </c>
      <c r="I8" s="122">
        <f t="shared" ref="I8:I12" si="6">K8</f>
        <v>1484.6890000000001</v>
      </c>
      <c r="J8" s="122" t="s">
        <v>19</v>
      </c>
      <c r="K8" s="122">
        <v>1484.6890000000001</v>
      </c>
      <c r="L8" s="122" t="str">
        <f t="shared" ref="L8:L12" si="7">N8</f>
        <v>-</v>
      </c>
      <c r="M8" s="122">
        <f t="shared" si="3"/>
        <v>1484.6890000000001</v>
      </c>
      <c r="N8" s="122" t="s">
        <v>19</v>
      </c>
      <c r="O8" s="122">
        <v>1484.6890000000001</v>
      </c>
      <c r="P8" s="122" t="s">
        <v>19</v>
      </c>
      <c r="Q8" s="79">
        <f>I8/E8</f>
        <v>0.99999259109584426</v>
      </c>
      <c r="R8" s="79">
        <f>M8/E8</f>
        <v>0.99999259109584426</v>
      </c>
    </row>
    <row r="9" spans="1:18" s="2" customFormat="1" ht="49.5" x14ac:dyDescent="0.25">
      <c r="A9" s="4" t="s">
        <v>13</v>
      </c>
      <c r="B9" s="16" t="s">
        <v>111</v>
      </c>
      <c r="C9" s="9" t="s">
        <v>39</v>
      </c>
      <c r="D9" s="9" t="s">
        <v>3</v>
      </c>
      <c r="E9" s="122">
        <f>G9</f>
        <v>1374.4</v>
      </c>
      <c r="F9" s="122" t="s">
        <v>19</v>
      </c>
      <c r="G9" s="122">
        <v>1374.4</v>
      </c>
      <c r="H9" s="122" t="str">
        <f t="shared" si="5"/>
        <v>-</v>
      </c>
      <c r="I9" s="122">
        <f t="shared" si="6"/>
        <v>1374.3746699999999</v>
      </c>
      <c r="J9" s="122" t="s">
        <v>19</v>
      </c>
      <c r="K9" s="122">
        <v>1374.3746699999999</v>
      </c>
      <c r="L9" s="122" t="str">
        <f t="shared" si="7"/>
        <v>-</v>
      </c>
      <c r="M9" s="122">
        <f>O9</f>
        <v>1374.3746699999999</v>
      </c>
      <c r="N9" s="122" t="s">
        <v>19</v>
      </c>
      <c r="O9" s="122">
        <f>1374.37467</f>
        <v>1374.3746699999999</v>
      </c>
      <c r="P9" s="122" t="s">
        <v>19</v>
      </c>
      <c r="Q9" s="79">
        <f>I9/E9</f>
        <v>0.99998157013969724</v>
      </c>
      <c r="R9" s="79">
        <f>M9/E9</f>
        <v>0.99998157013969724</v>
      </c>
    </row>
    <row r="10" spans="1:18" s="2" customFormat="1" ht="49.5" x14ac:dyDescent="0.25">
      <c r="A10" s="4" t="s">
        <v>14</v>
      </c>
      <c r="B10" s="16" t="s">
        <v>112</v>
      </c>
      <c r="C10" s="9" t="s">
        <v>39</v>
      </c>
      <c r="D10" s="9" t="s">
        <v>3</v>
      </c>
      <c r="E10" s="122">
        <f t="shared" si="4"/>
        <v>1448</v>
      </c>
      <c r="F10" s="122" t="s">
        <v>19</v>
      </c>
      <c r="G10" s="122">
        <v>1448</v>
      </c>
      <c r="H10" s="122" t="str">
        <f t="shared" si="5"/>
        <v>-</v>
      </c>
      <c r="I10" s="122">
        <f t="shared" si="6"/>
        <v>1447.94345</v>
      </c>
      <c r="J10" s="122" t="s">
        <v>19</v>
      </c>
      <c r="K10" s="122">
        <v>1447.94345</v>
      </c>
      <c r="L10" s="122" t="str">
        <f t="shared" si="7"/>
        <v>-</v>
      </c>
      <c r="M10" s="122">
        <f t="shared" si="3"/>
        <v>1447.94345</v>
      </c>
      <c r="N10" s="122" t="s">
        <v>19</v>
      </c>
      <c r="O10" s="122">
        <f>K10</f>
        <v>1447.94345</v>
      </c>
      <c r="P10" s="122" t="s">
        <v>19</v>
      </c>
      <c r="Q10" s="79">
        <f>I10/E10</f>
        <v>0.99996094613259667</v>
      </c>
      <c r="R10" s="79">
        <f>M10/E10</f>
        <v>0.99996094613259667</v>
      </c>
    </row>
    <row r="11" spans="1:18" s="2" customFormat="1" ht="99" x14ac:dyDescent="0.25">
      <c r="A11" s="4" t="s">
        <v>15</v>
      </c>
      <c r="B11" s="16" t="s">
        <v>113</v>
      </c>
      <c r="C11" s="9" t="s">
        <v>39</v>
      </c>
      <c r="D11" s="9" t="s">
        <v>39</v>
      </c>
      <c r="E11" s="122">
        <f t="shared" si="4"/>
        <v>1469.4</v>
      </c>
      <c r="F11" s="122" t="s">
        <v>19</v>
      </c>
      <c r="G11" s="122">
        <v>1469.4</v>
      </c>
      <c r="H11" s="122" t="str">
        <f t="shared" si="5"/>
        <v>-</v>
      </c>
      <c r="I11" s="122" t="str">
        <f t="shared" si="6"/>
        <v>-</v>
      </c>
      <c r="J11" s="122" t="s">
        <v>19</v>
      </c>
      <c r="K11" s="122" t="s">
        <v>19</v>
      </c>
      <c r="L11" s="122" t="str">
        <f t="shared" si="7"/>
        <v>-</v>
      </c>
      <c r="M11" s="122" t="str">
        <f>O11</f>
        <v>-</v>
      </c>
      <c r="N11" s="122" t="s">
        <v>19</v>
      </c>
      <c r="O11" s="122" t="s">
        <v>19</v>
      </c>
      <c r="P11" s="122" t="s">
        <v>19</v>
      </c>
      <c r="Q11" s="79" t="s">
        <v>19</v>
      </c>
      <c r="R11" s="79" t="s">
        <v>19</v>
      </c>
    </row>
    <row r="12" spans="1:18" s="2" customFormat="1" ht="49.5" x14ac:dyDescent="0.25">
      <c r="A12" s="4" t="s">
        <v>16</v>
      </c>
      <c r="B12" s="19" t="s">
        <v>114</v>
      </c>
      <c r="C12" s="18" t="s">
        <v>39</v>
      </c>
      <c r="D12" s="11" t="s">
        <v>3</v>
      </c>
      <c r="E12" s="122">
        <f t="shared" si="4"/>
        <v>7788.8</v>
      </c>
      <c r="F12" s="122" t="s">
        <v>19</v>
      </c>
      <c r="G12" s="122">
        <v>7788.8</v>
      </c>
      <c r="H12" s="122" t="str">
        <f t="shared" si="5"/>
        <v>-</v>
      </c>
      <c r="I12" s="122">
        <f t="shared" si="6"/>
        <v>2322.0087199999998</v>
      </c>
      <c r="J12" s="122" t="s">
        <v>19</v>
      </c>
      <c r="K12" s="122">
        <f>2322.00872</f>
        <v>2322.0087199999998</v>
      </c>
      <c r="L12" s="122" t="str">
        <f t="shared" si="7"/>
        <v>-</v>
      </c>
      <c r="M12" s="122">
        <f t="shared" si="3"/>
        <v>2322.0087199999998</v>
      </c>
      <c r="N12" s="122" t="s">
        <v>19</v>
      </c>
      <c r="O12" s="122">
        <v>2322.0087199999998</v>
      </c>
      <c r="P12" s="122" t="s">
        <v>19</v>
      </c>
      <c r="Q12" s="79">
        <f t="shared" ref="Q12:Q36" si="8">I12/E12</f>
        <v>0.2981214975349219</v>
      </c>
      <c r="R12" s="79">
        <f t="shared" ref="R12:R37" si="9">M12/E12</f>
        <v>0.2981214975349219</v>
      </c>
    </row>
    <row r="13" spans="1:18" s="2" customFormat="1" ht="49.5" x14ac:dyDescent="0.25">
      <c r="A13" s="4" t="s">
        <v>41</v>
      </c>
      <c r="B13" s="17" t="s">
        <v>115</v>
      </c>
      <c r="C13" s="9" t="s">
        <v>39</v>
      </c>
      <c r="D13" s="12" t="s">
        <v>61</v>
      </c>
      <c r="E13" s="122">
        <f>G13+H13</f>
        <v>2360.1</v>
      </c>
      <c r="F13" s="122" t="s">
        <v>19</v>
      </c>
      <c r="G13" s="122">
        <v>2336.5</v>
      </c>
      <c r="H13" s="122">
        <v>23.6</v>
      </c>
      <c r="I13" s="122">
        <f>K13+L13</f>
        <v>2133.05755</v>
      </c>
      <c r="J13" s="122" t="s">
        <v>19</v>
      </c>
      <c r="K13" s="122">
        <v>2111.7269700000002</v>
      </c>
      <c r="L13" s="122">
        <v>21.330580000000001</v>
      </c>
      <c r="M13" s="122">
        <f>O13+P13</f>
        <v>2133.05755</v>
      </c>
      <c r="N13" s="122" t="s">
        <v>19</v>
      </c>
      <c r="O13" s="122">
        <v>2111.7269700000002</v>
      </c>
      <c r="P13" s="122">
        <f>L13</f>
        <v>21.330580000000001</v>
      </c>
      <c r="Q13" s="79">
        <f t="shared" si="8"/>
        <v>0.90379964831998649</v>
      </c>
      <c r="R13" s="79">
        <f t="shared" si="9"/>
        <v>0.90379964831998649</v>
      </c>
    </row>
    <row r="14" spans="1:18" s="2" customFormat="1" ht="49.5" x14ac:dyDescent="0.25">
      <c r="A14" s="4" t="s">
        <v>17</v>
      </c>
      <c r="B14" s="17" t="s">
        <v>116</v>
      </c>
      <c r="C14" s="9" t="s">
        <v>39</v>
      </c>
      <c r="D14" s="12" t="s">
        <v>61</v>
      </c>
      <c r="E14" s="122">
        <f t="shared" ref="E14:E19" si="10">G14+H14</f>
        <v>1811.1</v>
      </c>
      <c r="F14" s="122" t="s">
        <v>19</v>
      </c>
      <c r="G14" s="122">
        <v>1793</v>
      </c>
      <c r="H14" s="122">
        <v>18.100000000000001</v>
      </c>
      <c r="I14" s="122">
        <f>K14+L14</f>
        <v>1744.8284000000001</v>
      </c>
      <c r="J14" s="122" t="s">
        <v>19</v>
      </c>
      <c r="K14" s="122">
        <v>1727.38012</v>
      </c>
      <c r="L14" s="122">
        <v>17.44828</v>
      </c>
      <c r="M14" s="122">
        <f>O14+P14</f>
        <v>1744.8284000000001</v>
      </c>
      <c r="N14" s="122" t="s">
        <v>19</v>
      </c>
      <c r="O14" s="122">
        <v>1727.38012</v>
      </c>
      <c r="P14" s="122">
        <f>L14</f>
        <v>17.44828</v>
      </c>
      <c r="Q14" s="79">
        <f t="shared" si="8"/>
        <v>0.96340809452818743</v>
      </c>
      <c r="R14" s="79">
        <f t="shared" si="9"/>
        <v>0.96340809452818743</v>
      </c>
    </row>
    <row r="15" spans="1:18" s="2" customFormat="1" ht="49.5" x14ac:dyDescent="0.25">
      <c r="A15" s="4" t="s">
        <v>42</v>
      </c>
      <c r="B15" s="17" t="s">
        <v>117</v>
      </c>
      <c r="C15" s="9" t="s">
        <v>39</v>
      </c>
      <c r="D15" s="12" t="s">
        <v>61</v>
      </c>
      <c r="E15" s="122">
        <f t="shared" si="10"/>
        <v>1706.8</v>
      </c>
      <c r="F15" s="122" t="s">
        <v>19</v>
      </c>
      <c r="G15" s="122">
        <v>1689.7</v>
      </c>
      <c r="H15" s="122">
        <v>17.100000000000001</v>
      </c>
      <c r="I15" s="122">
        <f>K15+L15</f>
        <v>1651.6845499999999</v>
      </c>
      <c r="J15" s="122" t="s">
        <v>19</v>
      </c>
      <c r="K15" s="122">
        <v>1635.1677</v>
      </c>
      <c r="L15" s="122">
        <v>16.516850000000002</v>
      </c>
      <c r="M15" s="122">
        <f>O15+P15</f>
        <v>1651.6845499999999</v>
      </c>
      <c r="N15" s="122" t="s">
        <v>19</v>
      </c>
      <c r="O15" s="122">
        <v>1635.1677</v>
      </c>
      <c r="P15" s="122">
        <f>L15</f>
        <v>16.516850000000002</v>
      </c>
      <c r="Q15" s="79">
        <f t="shared" si="8"/>
        <v>0.96770831380360911</v>
      </c>
      <c r="R15" s="79">
        <f t="shared" si="9"/>
        <v>0.96770831380360911</v>
      </c>
    </row>
    <row r="16" spans="1:18" s="2" customFormat="1" ht="49.5" x14ac:dyDescent="0.25">
      <c r="A16" s="4" t="s">
        <v>43</v>
      </c>
      <c r="B16" s="17" t="s">
        <v>118</v>
      </c>
      <c r="C16" s="9" t="s">
        <v>39</v>
      </c>
      <c r="D16" s="12" t="s">
        <v>61</v>
      </c>
      <c r="E16" s="122">
        <f t="shared" si="10"/>
        <v>1370.8</v>
      </c>
      <c r="F16" s="122" t="s">
        <v>19</v>
      </c>
      <c r="G16" s="122">
        <v>1357.1</v>
      </c>
      <c r="H16" s="122">
        <v>13.7</v>
      </c>
      <c r="I16" s="122">
        <f>K16+L16</f>
        <v>1323.6659999999999</v>
      </c>
      <c r="J16" s="122" t="s">
        <v>19</v>
      </c>
      <c r="K16" s="122">
        <v>1310.4293399999999</v>
      </c>
      <c r="L16" s="122">
        <v>13.236660000000001</v>
      </c>
      <c r="M16" s="122">
        <f>O16+P16</f>
        <v>1323.6659999999999</v>
      </c>
      <c r="N16" s="122" t="s">
        <v>19</v>
      </c>
      <c r="O16" s="122">
        <v>1310.4293399999999</v>
      </c>
      <c r="P16" s="122">
        <f>L16</f>
        <v>13.236660000000001</v>
      </c>
      <c r="Q16" s="79">
        <f t="shared" si="8"/>
        <v>0.9656156988619784</v>
      </c>
      <c r="R16" s="79">
        <f t="shared" si="9"/>
        <v>0.9656156988619784</v>
      </c>
    </row>
    <row r="17" spans="1:18" s="2" customFormat="1" ht="57" customHeight="1" x14ac:dyDescent="0.25">
      <c r="A17" s="4" t="s">
        <v>44</v>
      </c>
      <c r="B17" s="17" t="s">
        <v>119</v>
      </c>
      <c r="C17" s="9" t="s">
        <v>39</v>
      </c>
      <c r="D17" s="12" t="s">
        <v>61</v>
      </c>
      <c r="E17" s="122">
        <f t="shared" si="10"/>
        <v>683.59999999999991</v>
      </c>
      <c r="F17" s="122" t="s">
        <v>19</v>
      </c>
      <c r="G17" s="122">
        <v>676.8</v>
      </c>
      <c r="H17" s="122">
        <v>6.8</v>
      </c>
      <c r="I17" s="122">
        <f>K17+L17</f>
        <v>641.90332999999998</v>
      </c>
      <c r="J17" s="122" t="s">
        <v>19</v>
      </c>
      <c r="K17" s="122">
        <v>635.48429999999996</v>
      </c>
      <c r="L17" s="122">
        <v>6.4190300000000002</v>
      </c>
      <c r="M17" s="122">
        <f>O17+P17</f>
        <v>641.90332999999998</v>
      </c>
      <c r="N17" s="122" t="s">
        <v>19</v>
      </c>
      <c r="O17" s="122">
        <v>635.48429999999996</v>
      </c>
      <c r="P17" s="122">
        <f>L17</f>
        <v>6.4190300000000002</v>
      </c>
      <c r="Q17" s="79">
        <f t="shared" si="8"/>
        <v>0.93900428613224118</v>
      </c>
      <c r="R17" s="79">
        <f t="shared" si="9"/>
        <v>0.93900428613224118</v>
      </c>
    </row>
    <row r="18" spans="1:18" s="2" customFormat="1" ht="69.75" customHeight="1" x14ac:dyDescent="0.25">
      <c r="A18" s="4" t="s">
        <v>45</v>
      </c>
      <c r="B18" s="17" t="s">
        <v>298</v>
      </c>
      <c r="C18" s="9" t="s">
        <v>39</v>
      </c>
      <c r="D18" s="9" t="s">
        <v>40</v>
      </c>
      <c r="E18" s="122">
        <f>G18</f>
        <v>1461.6</v>
      </c>
      <c r="F18" s="122" t="s">
        <v>19</v>
      </c>
      <c r="G18" s="122">
        <v>1461.6</v>
      </c>
      <c r="H18" s="122" t="s">
        <v>19</v>
      </c>
      <c r="I18" s="122">
        <f t="shared" ref="I18" si="11">K18</f>
        <v>1461.6</v>
      </c>
      <c r="J18" s="122" t="s">
        <v>19</v>
      </c>
      <c r="K18" s="122">
        <v>1461.6</v>
      </c>
      <c r="L18" s="122" t="s">
        <v>19</v>
      </c>
      <c r="M18" s="122">
        <f t="shared" ref="M18" si="12">O18</f>
        <v>1461.6</v>
      </c>
      <c r="N18" s="122" t="s">
        <v>19</v>
      </c>
      <c r="O18" s="122">
        <v>1461.6</v>
      </c>
      <c r="P18" s="122" t="s">
        <v>19</v>
      </c>
      <c r="Q18" s="79">
        <f t="shared" si="8"/>
        <v>1</v>
      </c>
      <c r="R18" s="79">
        <f t="shared" si="9"/>
        <v>1</v>
      </c>
    </row>
    <row r="19" spans="1:18" s="2" customFormat="1" ht="69.75" customHeight="1" x14ac:dyDescent="0.25">
      <c r="A19" s="4" t="s">
        <v>46</v>
      </c>
      <c r="B19" s="17" t="s">
        <v>442</v>
      </c>
      <c r="C19" s="9" t="s">
        <v>443</v>
      </c>
      <c r="D19" s="12" t="s">
        <v>61</v>
      </c>
      <c r="E19" s="122">
        <f t="shared" si="10"/>
        <v>267.39999999999998</v>
      </c>
      <c r="F19" s="122" t="s">
        <v>19</v>
      </c>
      <c r="G19" s="122">
        <v>264.7</v>
      </c>
      <c r="H19" s="122">
        <v>2.7</v>
      </c>
      <c r="I19" s="122">
        <f>K19+L19</f>
        <v>264.7</v>
      </c>
      <c r="J19" s="122" t="s">
        <v>19</v>
      </c>
      <c r="K19" s="122">
        <v>262.053</v>
      </c>
      <c r="L19" s="122">
        <v>2.6469999999999998</v>
      </c>
      <c r="M19" s="122">
        <f>O19+P19</f>
        <v>264.7</v>
      </c>
      <c r="N19" s="122" t="s">
        <v>19</v>
      </c>
      <c r="O19" s="122">
        <f>K19</f>
        <v>262.053</v>
      </c>
      <c r="P19" s="122">
        <f>L19</f>
        <v>2.6469999999999998</v>
      </c>
      <c r="Q19" s="79">
        <f t="shared" si="8"/>
        <v>0.98990276738967842</v>
      </c>
      <c r="R19" s="79">
        <f t="shared" si="9"/>
        <v>0.98990276738967842</v>
      </c>
    </row>
    <row r="20" spans="1:18" s="2" customFormat="1" ht="31.5" customHeight="1" x14ac:dyDescent="0.25">
      <c r="A20" s="7"/>
      <c r="B20" s="178" t="s">
        <v>124</v>
      </c>
      <c r="C20" s="178"/>
      <c r="D20" s="178"/>
      <c r="E20" s="123">
        <f t="shared" ref="E20:P20" si="13">SUM(E21:E27)</f>
        <v>37628.9</v>
      </c>
      <c r="F20" s="123">
        <f t="shared" si="13"/>
        <v>10000</v>
      </c>
      <c r="G20" s="107">
        <f t="shared" si="13"/>
        <v>27280.799999999999</v>
      </c>
      <c r="H20" s="107">
        <f t="shared" si="13"/>
        <v>348.1</v>
      </c>
      <c r="I20" s="123">
        <f t="shared" si="13"/>
        <v>34046.823099999994</v>
      </c>
      <c r="J20" s="123">
        <f t="shared" si="13"/>
        <v>10000</v>
      </c>
      <c r="K20" s="123">
        <f t="shared" si="13"/>
        <v>23734.319709999996</v>
      </c>
      <c r="L20" s="107">
        <f t="shared" ref="L20" si="14">SUM(L21:L27)</f>
        <v>312.50339000000002</v>
      </c>
      <c r="M20" s="123">
        <f t="shared" si="13"/>
        <v>34046.823099999994</v>
      </c>
      <c r="N20" s="123">
        <f t="shared" si="13"/>
        <v>10000</v>
      </c>
      <c r="O20" s="123">
        <f t="shared" si="13"/>
        <v>23734.319709999996</v>
      </c>
      <c r="P20" s="107">
        <f t="shared" si="13"/>
        <v>312.50339000000002</v>
      </c>
      <c r="Q20" s="80">
        <f t="shared" si="8"/>
        <v>0.90480516571039793</v>
      </c>
      <c r="R20" s="80">
        <f t="shared" si="9"/>
        <v>0.90480516571039793</v>
      </c>
    </row>
    <row r="21" spans="1:18" s="2" customFormat="1" ht="121.5" customHeight="1" x14ac:dyDescent="0.25">
      <c r="A21" s="4" t="s">
        <v>58</v>
      </c>
      <c r="B21" s="16" t="s">
        <v>125</v>
      </c>
      <c r="C21" s="9" t="s">
        <v>382</v>
      </c>
      <c r="D21" s="78" t="s">
        <v>40</v>
      </c>
      <c r="E21" s="122">
        <f>G21</f>
        <v>2244.6999999999998</v>
      </c>
      <c r="F21" s="122" t="s">
        <v>19</v>
      </c>
      <c r="G21" s="122">
        <v>2244.6999999999998</v>
      </c>
      <c r="H21" s="122" t="s">
        <v>19</v>
      </c>
      <c r="I21" s="122">
        <f>K21</f>
        <v>2244.6999999999998</v>
      </c>
      <c r="J21" s="122" t="s">
        <v>19</v>
      </c>
      <c r="K21" s="122">
        <f>1159.14+1085.56</f>
        <v>2244.6999999999998</v>
      </c>
      <c r="L21" s="122" t="s">
        <v>19</v>
      </c>
      <c r="M21" s="122">
        <f>O21</f>
        <v>2244.6999999999998</v>
      </c>
      <c r="N21" s="122" t="s">
        <v>19</v>
      </c>
      <c r="O21" s="122">
        <f>1159.14+1085.56</f>
        <v>2244.6999999999998</v>
      </c>
      <c r="P21" s="122" t="s">
        <v>19</v>
      </c>
      <c r="Q21" s="79">
        <f t="shared" si="8"/>
        <v>1</v>
      </c>
      <c r="R21" s="79">
        <f t="shared" si="9"/>
        <v>1</v>
      </c>
    </row>
    <row r="22" spans="1:18" s="2" customFormat="1" ht="105.75" customHeight="1" x14ac:dyDescent="0.25">
      <c r="A22" s="4" t="s">
        <v>59</v>
      </c>
      <c r="B22" s="105" t="s">
        <v>458</v>
      </c>
      <c r="C22" s="9" t="s">
        <v>77</v>
      </c>
      <c r="D22" s="12" t="s">
        <v>61</v>
      </c>
      <c r="E22" s="122">
        <f>G22+F22+H22</f>
        <v>6140.7999999999993</v>
      </c>
      <c r="F22" s="122">
        <v>5897</v>
      </c>
      <c r="G22" s="122">
        <v>182.4</v>
      </c>
      <c r="H22" s="122">
        <v>61.4</v>
      </c>
      <c r="I22" s="122">
        <f>J22+K22+L22</f>
        <v>6140.7650699999995</v>
      </c>
      <c r="J22" s="122">
        <v>5897</v>
      </c>
      <c r="K22" s="122">
        <v>182.36507</v>
      </c>
      <c r="L22" s="122">
        <v>61.4</v>
      </c>
      <c r="M22" s="122">
        <f>N22+O22+P22</f>
        <v>6140.7650699999995</v>
      </c>
      <c r="N22" s="122">
        <v>5897</v>
      </c>
      <c r="O22" s="122">
        <v>182.36507</v>
      </c>
      <c r="P22" s="122">
        <v>61.4</v>
      </c>
      <c r="Q22" s="79">
        <f>I22/E22</f>
        <v>0.99999431181605003</v>
      </c>
      <c r="R22" s="79">
        <f t="shared" si="9"/>
        <v>0.99999431181605003</v>
      </c>
    </row>
    <row r="23" spans="1:18" s="2" customFormat="1" ht="105.75" customHeight="1" x14ac:dyDescent="0.25">
      <c r="A23" s="4" t="s">
        <v>60</v>
      </c>
      <c r="B23" s="133" t="s">
        <v>445</v>
      </c>
      <c r="C23" s="9" t="s">
        <v>77</v>
      </c>
      <c r="D23" s="12" t="s">
        <v>61</v>
      </c>
      <c r="E23" s="122">
        <f t="shared" ref="E23:E26" si="15">G23+F23+H23</f>
        <v>1497</v>
      </c>
      <c r="F23" s="122">
        <v>1218.2</v>
      </c>
      <c r="G23" s="122">
        <v>263.8</v>
      </c>
      <c r="H23" s="122">
        <v>15</v>
      </c>
      <c r="I23" s="122">
        <f>J23+K23+L23</f>
        <v>1496.93469</v>
      </c>
      <c r="J23" s="122">
        <v>1218.2</v>
      </c>
      <c r="K23" s="122">
        <f>226.06534+37.7</f>
        <v>263.76533999999998</v>
      </c>
      <c r="L23" s="122">
        <v>14.96935</v>
      </c>
      <c r="M23" s="122">
        <f>N23+O23+P23</f>
        <v>1496.93469</v>
      </c>
      <c r="N23" s="122">
        <f>J23</f>
        <v>1218.2</v>
      </c>
      <c r="O23" s="122">
        <f>K23</f>
        <v>263.76533999999998</v>
      </c>
      <c r="P23" s="122">
        <f>L23</f>
        <v>14.96935</v>
      </c>
      <c r="Q23" s="79">
        <f t="shared" si="8"/>
        <v>0.99995637274549098</v>
      </c>
      <c r="R23" s="79">
        <f t="shared" si="9"/>
        <v>0.99995637274549098</v>
      </c>
    </row>
    <row r="24" spans="1:18" s="2" customFormat="1" ht="105.75" customHeight="1" x14ac:dyDescent="0.25">
      <c r="A24" s="4" t="s">
        <v>391</v>
      </c>
      <c r="B24" s="133" t="s">
        <v>446</v>
      </c>
      <c r="C24" s="9" t="s">
        <v>77</v>
      </c>
      <c r="D24" s="12" t="s">
        <v>61</v>
      </c>
      <c r="E24" s="122">
        <f t="shared" si="15"/>
        <v>1960.8</v>
      </c>
      <c r="F24" s="122">
        <v>1883</v>
      </c>
      <c r="G24" s="122">
        <v>58.2</v>
      </c>
      <c r="H24" s="122">
        <v>19.600000000000001</v>
      </c>
      <c r="I24" s="122">
        <f>J24+K24+L24</f>
        <v>1960.8</v>
      </c>
      <c r="J24" s="122">
        <v>1883</v>
      </c>
      <c r="K24" s="122">
        <v>58.192</v>
      </c>
      <c r="L24" s="122">
        <v>19.608000000000001</v>
      </c>
      <c r="M24" s="122">
        <f>N24+O24+P24</f>
        <v>1960.8</v>
      </c>
      <c r="N24" s="122">
        <v>1883</v>
      </c>
      <c r="O24" s="122">
        <f t="shared" ref="O24:P26" si="16">K24</f>
        <v>58.192</v>
      </c>
      <c r="P24" s="122">
        <f t="shared" si="16"/>
        <v>19.608000000000001</v>
      </c>
      <c r="Q24" s="79">
        <f t="shared" si="8"/>
        <v>1</v>
      </c>
      <c r="R24" s="79">
        <f t="shared" si="9"/>
        <v>1</v>
      </c>
    </row>
    <row r="25" spans="1:18" s="2" customFormat="1" ht="105.75" customHeight="1" x14ac:dyDescent="0.25">
      <c r="A25" s="4" t="s">
        <v>440</v>
      </c>
      <c r="B25" s="133" t="s">
        <v>447</v>
      </c>
      <c r="C25" s="9" t="s">
        <v>77</v>
      </c>
      <c r="D25" s="12" t="s">
        <v>61</v>
      </c>
      <c r="E25" s="122">
        <f t="shared" si="15"/>
        <v>1860.2999999999997</v>
      </c>
      <c r="F25" s="122">
        <v>1001.8</v>
      </c>
      <c r="G25" s="122">
        <v>839.9</v>
      </c>
      <c r="H25" s="122">
        <v>18.600000000000001</v>
      </c>
      <c r="I25" s="122">
        <f>J25+K25+L25</f>
        <v>1860.2313499999998</v>
      </c>
      <c r="J25" s="122">
        <v>1001.8</v>
      </c>
      <c r="K25" s="122">
        <v>839.82903999999996</v>
      </c>
      <c r="L25" s="122">
        <v>18.602309999999999</v>
      </c>
      <c r="M25" s="122">
        <f>N25+O25+P25</f>
        <v>1860.2313499999998</v>
      </c>
      <c r="N25" s="122">
        <f>J25</f>
        <v>1001.8</v>
      </c>
      <c r="O25" s="122">
        <f t="shared" si="16"/>
        <v>839.82903999999996</v>
      </c>
      <c r="P25" s="122">
        <f t="shared" si="16"/>
        <v>18.602309999999999</v>
      </c>
      <c r="Q25" s="79">
        <f t="shared" si="8"/>
        <v>0.99996309734988986</v>
      </c>
      <c r="R25" s="79">
        <f t="shared" si="9"/>
        <v>0.99996309734988986</v>
      </c>
    </row>
    <row r="26" spans="1:18" s="2" customFormat="1" ht="105.75" customHeight="1" x14ac:dyDescent="0.25">
      <c r="A26" s="4" t="s">
        <v>444</v>
      </c>
      <c r="B26" s="134" t="s">
        <v>448</v>
      </c>
      <c r="C26" s="9" t="s">
        <v>77</v>
      </c>
      <c r="D26" s="12" t="s">
        <v>61</v>
      </c>
      <c r="E26" s="122">
        <f t="shared" si="15"/>
        <v>23355</v>
      </c>
      <c r="F26" s="122">
        <v>0</v>
      </c>
      <c r="G26" s="122">
        <v>23121.5</v>
      </c>
      <c r="H26" s="122">
        <v>233.5</v>
      </c>
      <c r="I26" s="122">
        <f>K26+L26</f>
        <v>19792.372909999998</v>
      </c>
      <c r="J26" s="122" t="s">
        <v>19</v>
      </c>
      <c r="K26" s="122">
        <v>19594.44918</v>
      </c>
      <c r="L26" s="122">
        <v>197.92373000000001</v>
      </c>
      <c r="M26" s="122">
        <f>O26+P26</f>
        <v>19792.372909999998</v>
      </c>
      <c r="N26" s="122" t="s">
        <v>19</v>
      </c>
      <c r="O26" s="122">
        <f t="shared" si="16"/>
        <v>19594.44918</v>
      </c>
      <c r="P26" s="122">
        <f t="shared" si="16"/>
        <v>197.92373000000001</v>
      </c>
      <c r="Q26" s="79">
        <f t="shared" si="8"/>
        <v>0.84745762834510807</v>
      </c>
      <c r="R26" s="79">
        <f t="shared" si="9"/>
        <v>0.84745762834510807</v>
      </c>
    </row>
    <row r="27" spans="1:18" s="2" customFormat="1" ht="42.75" customHeight="1" x14ac:dyDescent="0.25">
      <c r="A27" s="22" t="s">
        <v>60</v>
      </c>
      <c r="B27" s="211" t="s">
        <v>403</v>
      </c>
      <c r="C27" s="212"/>
      <c r="D27" s="213"/>
      <c r="E27" s="122">
        <f>SUM(E28:E36)</f>
        <v>570.29999999999995</v>
      </c>
      <c r="F27" s="122">
        <f t="shared" ref="F27:I27" si="17">SUM(F28:F36)</f>
        <v>0</v>
      </c>
      <c r="G27" s="122">
        <f t="shared" si="17"/>
        <v>570.29999999999995</v>
      </c>
      <c r="H27" s="122">
        <v>0</v>
      </c>
      <c r="I27" s="122">
        <f t="shared" si="17"/>
        <v>551.01907999999992</v>
      </c>
      <c r="J27" s="122">
        <f>SUM(J28:J36)</f>
        <v>0</v>
      </c>
      <c r="K27" s="122">
        <f t="shared" ref="K27" si="18">SUM(K28:K36)</f>
        <v>551.01907999999992</v>
      </c>
      <c r="L27" s="122">
        <v>0</v>
      </c>
      <c r="M27" s="122">
        <f t="shared" ref="M27" si="19">SUM(M28:M36)</f>
        <v>551.01907999999992</v>
      </c>
      <c r="N27" s="122">
        <f t="shared" ref="N27" si="20">SUM(N28:N36)</f>
        <v>0</v>
      </c>
      <c r="O27" s="122">
        <f t="shared" ref="O27" si="21">SUM(O28:O36)</f>
        <v>551.01907999999992</v>
      </c>
      <c r="P27" s="122">
        <v>0</v>
      </c>
      <c r="Q27" s="79">
        <f t="shared" si="8"/>
        <v>0.96619161844643164</v>
      </c>
      <c r="R27" s="79">
        <f t="shared" si="9"/>
        <v>0.96619161844643164</v>
      </c>
    </row>
    <row r="28" spans="1:18" s="2" customFormat="1" ht="49.5" x14ac:dyDescent="0.25">
      <c r="A28" s="22" t="s">
        <v>170</v>
      </c>
      <c r="B28" s="106" t="s">
        <v>104</v>
      </c>
      <c r="C28" s="9" t="s">
        <v>39</v>
      </c>
      <c r="D28" s="9" t="s">
        <v>40</v>
      </c>
      <c r="E28" s="122">
        <f>G28</f>
        <v>139.30000000000001</v>
      </c>
      <c r="F28" s="122" t="s">
        <v>19</v>
      </c>
      <c r="G28" s="122">
        <v>139.30000000000001</v>
      </c>
      <c r="H28" s="122" t="s">
        <v>19</v>
      </c>
      <c r="I28" s="122">
        <f>K28</f>
        <v>139.26706999999999</v>
      </c>
      <c r="J28" s="122" t="s">
        <v>19</v>
      </c>
      <c r="K28" s="122">
        <v>139.26706999999999</v>
      </c>
      <c r="L28" s="122" t="s">
        <v>19</v>
      </c>
      <c r="M28" s="122">
        <f t="shared" ref="M28:M36" si="22">O28</f>
        <v>139.26706999999999</v>
      </c>
      <c r="N28" s="122" t="s">
        <v>19</v>
      </c>
      <c r="O28" s="122">
        <v>139.26706999999999</v>
      </c>
      <c r="P28" s="122" t="s">
        <v>19</v>
      </c>
      <c r="Q28" s="79">
        <f t="shared" si="8"/>
        <v>0.99976360373295026</v>
      </c>
      <c r="R28" s="79">
        <f t="shared" si="9"/>
        <v>0.99976360373295026</v>
      </c>
    </row>
    <row r="29" spans="1:18" s="2" customFormat="1" ht="49.5" x14ac:dyDescent="0.25">
      <c r="A29" s="22" t="s">
        <v>171</v>
      </c>
      <c r="B29" s="106" t="s">
        <v>76</v>
      </c>
      <c r="C29" s="9" t="s">
        <v>39</v>
      </c>
      <c r="D29" s="9" t="s">
        <v>40</v>
      </c>
      <c r="E29" s="122">
        <f t="shared" ref="E29:E36" si="23">G29</f>
        <v>52.9</v>
      </c>
      <c r="F29" s="122" t="s">
        <v>19</v>
      </c>
      <c r="G29" s="122">
        <v>52.9</v>
      </c>
      <c r="H29" s="122" t="s">
        <v>19</v>
      </c>
      <c r="I29" s="122">
        <f t="shared" ref="I29:I36" si="24">K29</f>
        <v>52.80518</v>
      </c>
      <c r="J29" s="122" t="s">
        <v>19</v>
      </c>
      <c r="K29" s="122">
        <v>52.80518</v>
      </c>
      <c r="L29" s="122" t="s">
        <v>19</v>
      </c>
      <c r="M29" s="122">
        <f>O29</f>
        <v>52.80518</v>
      </c>
      <c r="N29" s="122" t="s">
        <v>19</v>
      </c>
      <c r="O29" s="122">
        <f>K29</f>
        <v>52.80518</v>
      </c>
      <c r="P29" s="122" t="s">
        <v>19</v>
      </c>
      <c r="Q29" s="79">
        <f t="shared" si="8"/>
        <v>0.998207561436673</v>
      </c>
      <c r="R29" s="79">
        <f t="shared" si="9"/>
        <v>0.998207561436673</v>
      </c>
    </row>
    <row r="30" spans="1:18" s="2" customFormat="1" ht="49.5" x14ac:dyDescent="0.25">
      <c r="A30" s="22" t="s">
        <v>172</v>
      </c>
      <c r="B30" s="106" t="s">
        <v>73</v>
      </c>
      <c r="C30" s="9" t="s">
        <v>39</v>
      </c>
      <c r="D30" s="9" t="s">
        <v>40</v>
      </c>
      <c r="E30" s="122">
        <f t="shared" si="23"/>
        <v>41.6</v>
      </c>
      <c r="F30" s="122" t="s">
        <v>19</v>
      </c>
      <c r="G30" s="122">
        <v>41.6</v>
      </c>
      <c r="H30" s="122" t="s">
        <v>19</v>
      </c>
      <c r="I30" s="122">
        <f t="shared" si="24"/>
        <v>22.69519</v>
      </c>
      <c r="J30" s="122" t="s">
        <v>19</v>
      </c>
      <c r="K30" s="122">
        <v>22.69519</v>
      </c>
      <c r="L30" s="122" t="s">
        <v>19</v>
      </c>
      <c r="M30" s="122">
        <f t="shared" si="22"/>
        <v>22.69519</v>
      </c>
      <c r="N30" s="122" t="s">
        <v>19</v>
      </c>
      <c r="O30" s="122">
        <f>K30</f>
        <v>22.69519</v>
      </c>
      <c r="P30" s="122" t="s">
        <v>19</v>
      </c>
      <c r="Q30" s="79">
        <f t="shared" si="8"/>
        <v>0.54555745192307692</v>
      </c>
      <c r="R30" s="79">
        <f t="shared" si="9"/>
        <v>0.54555745192307692</v>
      </c>
    </row>
    <row r="31" spans="1:18" s="2" customFormat="1" ht="49.5" x14ac:dyDescent="0.25">
      <c r="A31" s="22" t="s">
        <v>404</v>
      </c>
      <c r="B31" s="106" t="s">
        <v>74</v>
      </c>
      <c r="C31" s="9" t="s">
        <v>39</v>
      </c>
      <c r="D31" s="9" t="s">
        <v>40</v>
      </c>
      <c r="E31" s="122">
        <f t="shared" si="23"/>
        <v>95.2</v>
      </c>
      <c r="F31" s="122" t="s">
        <v>19</v>
      </c>
      <c r="G31" s="122">
        <v>95.2</v>
      </c>
      <c r="H31" s="122" t="s">
        <v>19</v>
      </c>
      <c r="I31" s="122">
        <f t="shared" si="24"/>
        <v>95.186160000000001</v>
      </c>
      <c r="J31" s="122" t="s">
        <v>19</v>
      </c>
      <c r="K31" s="122">
        <v>95.186160000000001</v>
      </c>
      <c r="L31" s="122" t="s">
        <v>19</v>
      </c>
      <c r="M31" s="122">
        <f t="shared" si="22"/>
        <v>95.186160000000001</v>
      </c>
      <c r="N31" s="122" t="s">
        <v>19</v>
      </c>
      <c r="O31" s="122">
        <f>K31</f>
        <v>95.186160000000001</v>
      </c>
      <c r="P31" s="122" t="s">
        <v>19</v>
      </c>
      <c r="Q31" s="79">
        <f t="shared" si="8"/>
        <v>0.99985462184873952</v>
      </c>
      <c r="R31" s="79">
        <f t="shared" si="9"/>
        <v>0.99985462184873952</v>
      </c>
    </row>
    <row r="32" spans="1:18" s="2" customFormat="1" ht="49.5" x14ac:dyDescent="0.25">
      <c r="A32" s="22" t="s">
        <v>405</v>
      </c>
      <c r="B32" s="106" t="s">
        <v>64</v>
      </c>
      <c r="C32" s="9" t="s">
        <v>39</v>
      </c>
      <c r="D32" s="9" t="s">
        <v>40</v>
      </c>
      <c r="E32" s="122">
        <f t="shared" si="23"/>
        <v>69.8</v>
      </c>
      <c r="F32" s="122" t="s">
        <v>19</v>
      </c>
      <c r="G32" s="122">
        <v>69.8</v>
      </c>
      <c r="H32" s="122" t="s">
        <v>19</v>
      </c>
      <c r="I32" s="122">
        <f t="shared" si="24"/>
        <v>69.709509999999995</v>
      </c>
      <c r="J32" s="122" t="s">
        <v>19</v>
      </c>
      <c r="K32" s="122">
        <v>69.709509999999995</v>
      </c>
      <c r="L32" s="122" t="s">
        <v>19</v>
      </c>
      <c r="M32" s="122">
        <f t="shared" si="22"/>
        <v>69.709509999999995</v>
      </c>
      <c r="N32" s="122" t="s">
        <v>19</v>
      </c>
      <c r="O32" s="122">
        <v>69.709509999999995</v>
      </c>
      <c r="P32" s="122" t="s">
        <v>19</v>
      </c>
      <c r="Q32" s="79">
        <f t="shared" si="8"/>
        <v>0.9987035816618911</v>
      </c>
      <c r="R32" s="79">
        <f t="shared" si="9"/>
        <v>0.9987035816618911</v>
      </c>
    </row>
    <row r="33" spans="1:18" s="2" customFormat="1" ht="49.5" x14ac:dyDescent="0.25">
      <c r="A33" s="22" t="s">
        <v>406</v>
      </c>
      <c r="B33" s="106" t="s">
        <v>70</v>
      </c>
      <c r="C33" s="9" t="s">
        <v>39</v>
      </c>
      <c r="D33" s="9" t="s">
        <v>40</v>
      </c>
      <c r="E33" s="122">
        <f t="shared" si="23"/>
        <v>42.4</v>
      </c>
      <c r="F33" s="122" t="s">
        <v>19</v>
      </c>
      <c r="G33" s="122">
        <v>42.4</v>
      </c>
      <c r="H33" s="122" t="s">
        <v>19</v>
      </c>
      <c r="I33" s="122">
        <f t="shared" si="24"/>
        <v>42.348280000000003</v>
      </c>
      <c r="J33" s="122" t="s">
        <v>19</v>
      </c>
      <c r="K33" s="122">
        <v>42.348280000000003</v>
      </c>
      <c r="L33" s="122" t="s">
        <v>19</v>
      </c>
      <c r="M33" s="122">
        <f t="shared" si="22"/>
        <v>42.348280000000003</v>
      </c>
      <c r="N33" s="122" t="s">
        <v>19</v>
      </c>
      <c r="O33" s="122">
        <v>42.348280000000003</v>
      </c>
      <c r="P33" s="122" t="s">
        <v>19</v>
      </c>
      <c r="Q33" s="79">
        <f t="shared" si="8"/>
        <v>0.99878018867924534</v>
      </c>
      <c r="R33" s="79">
        <f t="shared" si="9"/>
        <v>0.99878018867924534</v>
      </c>
    </row>
    <row r="34" spans="1:18" s="2" customFormat="1" ht="49.5" x14ac:dyDescent="0.25">
      <c r="A34" s="22" t="s">
        <v>407</v>
      </c>
      <c r="B34" s="106" t="s">
        <v>69</v>
      </c>
      <c r="C34" s="9" t="s">
        <v>39</v>
      </c>
      <c r="D34" s="9" t="s">
        <v>40</v>
      </c>
      <c r="E34" s="122">
        <f t="shared" si="23"/>
        <v>43.2</v>
      </c>
      <c r="F34" s="122" t="s">
        <v>19</v>
      </c>
      <c r="G34" s="122">
        <v>43.2</v>
      </c>
      <c r="H34" s="122" t="s">
        <v>19</v>
      </c>
      <c r="I34" s="122">
        <f t="shared" si="24"/>
        <v>43.176369999999999</v>
      </c>
      <c r="J34" s="122" t="s">
        <v>19</v>
      </c>
      <c r="K34" s="122">
        <v>43.176369999999999</v>
      </c>
      <c r="L34" s="122" t="s">
        <v>19</v>
      </c>
      <c r="M34" s="122">
        <f t="shared" si="22"/>
        <v>43.176369999999999</v>
      </c>
      <c r="N34" s="122" t="s">
        <v>19</v>
      </c>
      <c r="O34" s="122">
        <v>43.176369999999999</v>
      </c>
      <c r="P34" s="122" t="s">
        <v>19</v>
      </c>
      <c r="Q34" s="79">
        <f t="shared" si="8"/>
        <v>0.99945300925925917</v>
      </c>
      <c r="R34" s="79">
        <f t="shared" si="9"/>
        <v>0.99945300925925917</v>
      </c>
    </row>
    <row r="35" spans="1:18" s="2" customFormat="1" ht="49.5" x14ac:dyDescent="0.25">
      <c r="A35" s="22" t="s">
        <v>408</v>
      </c>
      <c r="B35" s="106" t="s">
        <v>71</v>
      </c>
      <c r="C35" s="9" t="s">
        <v>39</v>
      </c>
      <c r="D35" s="9" t="s">
        <v>40</v>
      </c>
      <c r="E35" s="122">
        <f t="shared" si="23"/>
        <v>23.5</v>
      </c>
      <c r="F35" s="122" t="s">
        <v>19</v>
      </c>
      <c r="G35" s="122">
        <v>23.5</v>
      </c>
      <c r="H35" s="122" t="s">
        <v>19</v>
      </c>
      <c r="I35" s="122">
        <f t="shared" si="24"/>
        <v>23.431319999999999</v>
      </c>
      <c r="J35" s="122" t="s">
        <v>19</v>
      </c>
      <c r="K35" s="122">
        <v>23.431319999999999</v>
      </c>
      <c r="L35" s="122" t="s">
        <v>19</v>
      </c>
      <c r="M35" s="122">
        <f t="shared" si="22"/>
        <v>23.431319999999999</v>
      </c>
      <c r="N35" s="122" t="s">
        <v>19</v>
      </c>
      <c r="O35" s="122">
        <v>23.431319999999999</v>
      </c>
      <c r="P35" s="122" t="s">
        <v>19</v>
      </c>
      <c r="Q35" s="79">
        <f t="shared" si="8"/>
        <v>0.99707744680851063</v>
      </c>
      <c r="R35" s="79">
        <f t="shared" si="9"/>
        <v>0.99707744680851063</v>
      </c>
    </row>
    <row r="36" spans="1:18" s="2" customFormat="1" ht="49.5" x14ac:dyDescent="0.25">
      <c r="A36" s="22" t="s">
        <v>409</v>
      </c>
      <c r="B36" s="106" t="s">
        <v>67</v>
      </c>
      <c r="C36" s="9" t="s">
        <v>39</v>
      </c>
      <c r="D36" s="9" t="s">
        <v>40</v>
      </c>
      <c r="E36" s="122">
        <f t="shared" si="23"/>
        <v>62.4</v>
      </c>
      <c r="F36" s="122" t="s">
        <v>19</v>
      </c>
      <c r="G36" s="122">
        <v>62.4</v>
      </c>
      <c r="H36" s="122" t="s">
        <v>19</v>
      </c>
      <c r="I36" s="122">
        <f t="shared" si="24"/>
        <v>62.4</v>
      </c>
      <c r="J36" s="122" t="s">
        <v>19</v>
      </c>
      <c r="K36" s="122">
        <v>62.4</v>
      </c>
      <c r="L36" s="122" t="s">
        <v>19</v>
      </c>
      <c r="M36" s="122">
        <f t="shared" si="22"/>
        <v>62.4</v>
      </c>
      <c r="N36" s="122" t="s">
        <v>19</v>
      </c>
      <c r="O36" s="122">
        <v>62.4</v>
      </c>
      <c r="P36" s="122" t="s">
        <v>19</v>
      </c>
      <c r="Q36" s="79">
        <f t="shared" si="8"/>
        <v>1</v>
      </c>
      <c r="R36" s="79">
        <f t="shared" si="9"/>
        <v>1</v>
      </c>
    </row>
    <row r="37" spans="1:18" s="2" customFormat="1" x14ac:dyDescent="0.25">
      <c r="A37" s="23"/>
      <c r="B37" s="5" t="s">
        <v>2</v>
      </c>
      <c r="C37" s="5"/>
      <c r="D37" s="3"/>
      <c r="E37" s="112">
        <f t="shared" ref="E37:P37" si="25">E6+E20</f>
        <v>117589.90000000002</v>
      </c>
      <c r="F37" s="112">
        <f t="shared" si="25"/>
        <v>10000</v>
      </c>
      <c r="G37" s="112">
        <f t="shared" si="25"/>
        <v>107159.80000000002</v>
      </c>
      <c r="H37" s="112">
        <f t="shared" si="25"/>
        <v>430.1</v>
      </c>
      <c r="I37" s="112">
        <f t="shared" si="25"/>
        <v>71881.066519999993</v>
      </c>
      <c r="J37" s="112">
        <f t="shared" si="25"/>
        <v>10000</v>
      </c>
      <c r="K37" s="112">
        <f t="shared" si="25"/>
        <v>61490.964729999992</v>
      </c>
      <c r="L37" s="112">
        <f t="shared" ref="L37" si="26">L6+L20</f>
        <v>390.10179000000005</v>
      </c>
      <c r="M37" s="112">
        <f t="shared" si="25"/>
        <v>71881.066519999993</v>
      </c>
      <c r="N37" s="112">
        <f t="shared" si="25"/>
        <v>10000</v>
      </c>
      <c r="O37" s="112">
        <f t="shared" si="25"/>
        <v>61490.964729999992</v>
      </c>
      <c r="P37" s="112">
        <f t="shared" si="25"/>
        <v>390.10179000000005</v>
      </c>
      <c r="Q37" s="80">
        <f>I37/E37</f>
        <v>0.61128605875164432</v>
      </c>
      <c r="R37" s="80">
        <f t="shared" si="9"/>
        <v>0.61128605875164432</v>
      </c>
    </row>
    <row r="38" spans="1:18" ht="18.75" customHeight="1" x14ac:dyDescent="0.25"/>
    <row r="39" spans="1:18" ht="18.75" customHeight="1" x14ac:dyDescent="0.25"/>
    <row r="40" spans="1:18" ht="48.75" customHeight="1" x14ac:dyDescent="0.25"/>
    <row r="42" spans="1:18" ht="18.75" customHeight="1" x14ac:dyDescent="0.25"/>
    <row r="43" spans="1:18" ht="18.75" customHeight="1" x14ac:dyDescent="0.25"/>
    <row r="46" spans="1:18" ht="18.75" customHeight="1" x14ac:dyDescent="0.25"/>
    <row r="50" ht="18.75" customHeight="1" x14ac:dyDescent="0.25"/>
  </sheetData>
  <mergeCells count="14">
    <mergeCell ref="B27:D27"/>
    <mergeCell ref="B6:D6"/>
    <mergeCell ref="B20:D20"/>
    <mergeCell ref="A1:R1"/>
    <mergeCell ref="A2:R2"/>
    <mergeCell ref="M3:O3"/>
    <mergeCell ref="Q3:Q4"/>
    <mergeCell ref="R3:R4"/>
    <mergeCell ref="A3:A4"/>
    <mergeCell ref="B3:B4"/>
    <mergeCell ref="C3:C4"/>
    <mergeCell ref="D3:D4"/>
    <mergeCell ref="E3:H3"/>
    <mergeCell ref="I3:L3"/>
  </mergeCells>
  <pageMargins left="0.39370078740157483" right="0.39370078740157483" top="0.39370078740157483" bottom="0.39370078740157483" header="0.31496062992125984" footer="0.31496062992125984"/>
  <pageSetup paperSize="9" scale="4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M26"/>
  <sheetViews>
    <sheetView view="pageBreakPreview" zoomScale="90" zoomScaleNormal="100" zoomScaleSheetLayoutView="90" workbookViewId="0">
      <selection activeCell="K17" sqref="K17"/>
    </sheetView>
  </sheetViews>
  <sheetFormatPr defaultRowHeight="15.75" x14ac:dyDescent="0.25"/>
  <cols>
    <col min="1" max="1" width="6.5703125" style="31" customWidth="1"/>
    <col min="2" max="2" width="44.85546875" style="31" customWidth="1"/>
    <col min="3" max="3" width="14" style="31" hidden="1" customWidth="1"/>
    <col min="4" max="4" width="11.42578125" style="31" hidden="1" customWidth="1"/>
    <col min="5" max="5" width="27.5703125" style="31" customWidth="1"/>
    <col min="6" max="6" width="16.85546875" style="31" customWidth="1"/>
    <col min="7" max="7" width="14.85546875" style="31" customWidth="1"/>
    <col min="8" max="8" width="19.5703125" style="31" customWidth="1"/>
    <col min="9" max="9" width="15.140625" style="31" customWidth="1"/>
    <col min="10" max="10" width="14.7109375" style="31" customWidth="1"/>
    <col min="11" max="12" width="14.140625" style="31" customWidth="1"/>
    <col min="13" max="13" width="15.140625" style="31" customWidth="1"/>
    <col min="14" max="255" width="9.140625" style="31"/>
    <col min="256" max="256" width="6.5703125" style="31" customWidth="1"/>
    <col min="257" max="257" width="35.28515625" style="31" customWidth="1"/>
    <col min="258" max="258" width="14" style="31" customWidth="1"/>
    <col min="259" max="259" width="11.42578125" style="31" customWidth="1"/>
    <col min="260" max="260" width="21.7109375" style="31" customWidth="1"/>
    <col min="261" max="261" width="13.7109375" style="31" customWidth="1"/>
    <col min="262" max="262" width="14.85546875" style="31" customWidth="1"/>
    <col min="263" max="263" width="19.5703125" style="31" customWidth="1"/>
    <col min="264" max="264" width="13.7109375" style="31" customWidth="1"/>
    <col min="265" max="265" width="14.7109375" style="31" customWidth="1"/>
    <col min="266" max="267" width="14.140625" style="31" customWidth="1"/>
    <col min="268" max="268" width="15.140625" style="31" customWidth="1"/>
    <col min="269" max="269" width="21.5703125" style="31" customWidth="1"/>
    <col min="270" max="511" width="9.140625" style="31"/>
    <col min="512" max="512" width="6.5703125" style="31" customWidth="1"/>
    <col min="513" max="513" width="35.28515625" style="31" customWidth="1"/>
    <col min="514" max="514" width="14" style="31" customWidth="1"/>
    <col min="515" max="515" width="11.42578125" style="31" customWidth="1"/>
    <col min="516" max="516" width="21.7109375" style="31" customWidth="1"/>
    <col min="517" max="517" width="13.7109375" style="31" customWidth="1"/>
    <col min="518" max="518" width="14.85546875" style="31" customWidth="1"/>
    <col min="519" max="519" width="19.5703125" style="31" customWidth="1"/>
    <col min="520" max="520" width="13.7109375" style="31" customWidth="1"/>
    <col min="521" max="521" width="14.7109375" style="31" customWidth="1"/>
    <col min="522" max="523" width="14.140625" style="31" customWidth="1"/>
    <col min="524" max="524" width="15.140625" style="31" customWidth="1"/>
    <col min="525" max="525" width="21.5703125" style="31" customWidth="1"/>
    <col min="526" max="767" width="9.140625" style="31"/>
    <col min="768" max="768" width="6.5703125" style="31" customWidth="1"/>
    <col min="769" max="769" width="35.28515625" style="31" customWidth="1"/>
    <col min="770" max="770" width="14" style="31" customWidth="1"/>
    <col min="771" max="771" width="11.42578125" style="31" customWidth="1"/>
    <col min="772" max="772" width="21.7109375" style="31" customWidth="1"/>
    <col min="773" max="773" width="13.7109375" style="31" customWidth="1"/>
    <col min="774" max="774" width="14.85546875" style="31" customWidth="1"/>
    <col min="775" max="775" width="19.5703125" style="31" customWidth="1"/>
    <col min="776" max="776" width="13.7109375" style="31" customWidth="1"/>
    <col min="777" max="777" width="14.7109375" style="31" customWidth="1"/>
    <col min="778" max="779" width="14.140625" style="31" customWidth="1"/>
    <col min="780" max="780" width="15.140625" style="31" customWidth="1"/>
    <col min="781" max="781" width="21.5703125" style="31" customWidth="1"/>
    <col min="782" max="1023" width="9.140625" style="31"/>
    <col min="1024" max="1024" width="6.5703125" style="31" customWidth="1"/>
    <col min="1025" max="1025" width="35.28515625" style="31" customWidth="1"/>
    <col min="1026" max="1026" width="14" style="31" customWidth="1"/>
    <col min="1027" max="1027" width="11.42578125" style="31" customWidth="1"/>
    <col min="1028" max="1028" width="21.7109375" style="31" customWidth="1"/>
    <col min="1029" max="1029" width="13.7109375" style="31" customWidth="1"/>
    <col min="1030" max="1030" width="14.85546875" style="31" customWidth="1"/>
    <col min="1031" max="1031" width="19.5703125" style="31" customWidth="1"/>
    <col min="1032" max="1032" width="13.7109375" style="31" customWidth="1"/>
    <col min="1033" max="1033" width="14.7109375" style="31" customWidth="1"/>
    <col min="1034" max="1035" width="14.140625" style="31" customWidth="1"/>
    <col min="1036" max="1036" width="15.140625" style="31" customWidth="1"/>
    <col min="1037" max="1037" width="21.5703125" style="31" customWidth="1"/>
    <col min="1038" max="1279" width="9.140625" style="31"/>
    <col min="1280" max="1280" width="6.5703125" style="31" customWidth="1"/>
    <col min="1281" max="1281" width="35.28515625" style="31" customWidth="1"/>
    <col min="1282" max="1282" width="14" style="31" customWidth="1"/>
    <col min="1283" max="1283" width="11.42578125" style="31" customWidth="1"/>
    <col min="1284" max="1284" width="21.7109375" style="31" customWidth="1"/>
    <col min="1285" max="1285" width="13.7109375" style="31" customWidth="1"/>
    <col min="1286" max="1286" width="14.85546875" style="31" customWidth="1"/>
    <col min="1287" max="1287" width="19.5703125" style="31" customWidth="1"/>
    <col min="1288" max="1288" width="13.7109375" style="31" customWidth="1"/>
    <col min="1289" max="1289" width="14.7109375" style="31" customWidth="1"/>
    <col min="1290" max="1291" width="14.140625" style="31" customWidth="1"/>
    <col min="1292" max="1292" width="15.140625" style="31" customWidth="1"/>
    <col min="1293" max="1293" width="21.5703125" style="31" customWidth="1"/>
    <col min="1294" max="1535" width="9.140625" style="31"/>
    <col min="1536" max="1536" width="6.5703125" style="31" customWidth="1"/>
    <col min="1537" max="1537" width="35.28515625" style="31" customWidth="1"/>
    <col min="1538" max="1538" width="14" style="31" customWidth="1"/>
    <col min="1539" max="1539" width="11.42578125" style="31" customWidth="1"/>
    <col min="1540" max="1540" width="21.7109375" style="31" customWidth="1"/>
    <col min="1541" max="1541" width="13.7109375" style="31" customWidth="1"/>
    <col min="1542" max="1542" width="14.85546875" style="31" customWidth="1"/>
    <col min="1543" max="1543" width="19.5703125" style="31" customWidth="1"/>
    <col min="1544" max="1544" width="13.7109375" style="31" customWidth="1"/>
    <col min="1545" max="1545" width="14.7109375" style="31" customWidth="1"/>
    <col min="1546" max="1547" width="14.140625" style="31" customWidth="1"/>
    <col min="1548" max="1548" width="15.140625" style="31" customWidth="1"/>
    <col min="1549" max="1549" width="21.5703125" style="31" customWidth="1"/>
    <col min="1550" max="1791" width="9.140625" style="31"/>
    <col min="1792" max="1792" width="6.5703125" style="31" customWidth="1"/>
    <col min="1793" max="1793" width="35.28515625" style="31" customWidth="1"/>
    <col min="1794" max="1794" width="14" style="31" customWidth="1"/>
    <col min="1795" max="1795" width="11.42578125" style="31" customWidth="1"/>
    <col min="1796" max="1796" width="21.7109375" style="31" customWidth="1"/>
    <col min="1797" max="1797" width="13.7109375" style="31" customWidth="1"/>
    <col min="1798" max="1798" width="14.85546875" style="31" customWidth="1"/>
    <col min="1799" max="1799" width="19.5703125" style="31" customWidth="1"/>
    <col min="1800" max="1800" width="13.7109375" style="31" customWidth="1"/>
    <col min="1801" max="1801" width="14.7109375" style="31" customWidth="1"/>
    <col min="1802" max="1803" width="14.140625" style="31" customWidth="1"/>
    <col min="1804" max="1804" width="15.140625" style="31" customWidth="1"/>
    <col min="1805" max="1805" width="21.5703125" style="31" customWidth="1"/>
    <col min="1806" max="2047" width="9.140625" style="31"/>
    <col min="2048" max="2048" width="6.5703125" style="31" customWidth="1"/>
    <col min="2049" max="2049" width="35.28515625" style="31" customWidth="1"/>
    <col min="2050" max="2050" width="14" style="31" customWidth="1"/>
    <col min="2051" max="2051" width="11.42578125" style="31" customWidth="1"/>
    <col min="2052" max="2052" width="21.7109375" style="31" customWidth="1"/>
    <col min="2053" max="2053" width="13.7109375" style="31" customWidth="1"/>
    <col min="2054" max="2054" width="14.85546875" style="31" customWidth="1"/>
    <col min="2055" max="2055" width="19.5703125" style="31" customWidth="1"/>
    <col min="2056" max="2056" width="13.7109375" style="31" customWidth="1"/>
    <col min="2057" max="2057" width="14.7109375" style="31" customWidth="1"/>
    <col min="2058" max="2059" width="14.140625" style="31" customWidth="1"/>
    <col min="2060" max="2060" width="15.140625" style="31" customWidth="1"/>
    <col min="2061" max="2061" width="21.5703125" style="31" customWidth="1"/>
    <col min="2062" max="2303" width="9.140625" style="31"/>
    <col min="2304" max="2304" width="6.5703125" style="31" customWidth="1"/>
    <col min="2305" max="2305" width="35.28515625" style="31" customWidth="1"/>
    <col min="2306" max="2306" width="14" style="31" customWidth="1"/>
    <col min="2307" max="2307" width="11.42578125" style="31" customWidth="1"/>
    <col min="2308" max="2308" width="21.7109375" style="31" customWidth="1"/>
    <col min="2309" max="2309" width="13.7109375" style="31" customWidth="1"/>
    <col min="2310" max="2310" width="14.85546875" style="31" customWidth="1"/>
    <col min="2311" max="2311" width="19.5703125" style="31" customWidth="1"/>
    <col min="2312" max="2312" width="13.7109375" style="31" customWidth="1"/>
    <col min="2313" max="2313" width="14.7109375" style="31" customWidth="1"/>
    <col min="2314" max="2315" width="14.140625" style="31" customWidth="1"/>
    <col min="2316" max="2316" width="15.140625" style="31" customWidth="1"/>
    <col min="2317" max="2317" width="21.5703125" style="31" customWidth="1"/>
    <col min="2318" max="2559" width="9.140625" style="31"/>
    <col min="2560" max="2560" width="6.5703125" style="31" customWidth="1"/>
    <col min="2561" max="2561" width="35.28515625" style="31" customWidth="1"/>
    <col min="2562" max="2562" width="14" style="31" customWidth="1"/>
    <col min="2563" max="2563" width="11.42578125" style="31" customWidth="1"/>
    <col min="2564" max="2564" width="21.7109375" style="31" customWidth="1"/>
    <col min="2565" max="2565" width="13.7109375" style="31" customWidth="1"/>
    <col min="2566" max="2566" width="14.85546875" style="31" customWidth="1"/>
    <col min="2567" max="2567" width="19.5703125" style="31" customWidth="1"/>
    <col min="2568" max="2568" width="13.7109375" style="31" customWidth="1"/>
    <col min="2569" max="2569" width="14.7109375" style="31" customWidth="1"/>
    <col min="2570" max="2571" width="14.140625" style="31" customWidth="1"/>
    <col min="2572" max="2572" width="15.140625" style="31" customWidth="1"/>
    <col min="2573" max="2573" width="21.5703125" style="31" customWidth="1"/>
    <col min="2574" max="2815" width="9.140625" style="31"/>
    <col min="2816" max="2816" width="6.5703125" style="31" customWidth="1"/>
    <col min="2817" max="2817" width="35.28515625" style="31" customWidth="1"/>
    <col min="2818" max="2818" width="14" style="31" customWidth="1"/>
    <col min="2819" max="2819" width="11.42578125" style="31" customWidth="1"/>
    <col min="2820" max="2820" width="21.7109375" style="31" customWidth="1"/>
    <col min="2821" max="2821" width="13.7109375" style="31" customWidth="1"/>
    <col min="2822" max="2822" width="14.85546875" style="31" customWidth="1"/>
    <col min="2823" max="2823" width="19.5703125" style="31" customWidth="1"/>
    <col min="2824" max="2824" width="13.7109375" style="31" customWidth="1"/>
    <col min="2825" max="2825" width="14.7109375" style="31" customWidth="1"/>
    <col min="2826" max="2827" width="14.140625" style="31" customWidth="1"/>
    <col min="2828" max="2828" width="15.140625" style="31" customWidth="1"/>
    <col min="2829" max="2829" width="21.5703125" style="31" customWidth="1"/>
    <col min="2830" max="3071" width="9.140625" style="31"/>
    <col min="3072" max="3072" width="6.5703125" style="31" customWidth="1"/>
    <col min="3073" max="3073" width="35.28515625" style="31" customWidth="1"/>
    <col min="3074" max="3074" width="14" style="31" customWidth="1"/>
    <col min="3075" max="3075" width="11.42578125" style="31" customWidth="1"/>
    <col min="3076" max="3076" width="21.7109375" style="31" customWidth="1"/>
    <col min="3077" max="3077" width="13.7109375" style="31" customWidth="1"/>
    <col min="3078" max="3078" width="14.85546875" style="31" customWidth="1"/>
    <col min="3079" max="3079" width="19.5703125" style="31" customWidth="1"/>
    <col min="3080" max="3080" width="13.7109375" style="31" customWidth="1"/>
    <col min="3081" max="3081" width="14.7109375" style="31" customWidth="1"/>
    <col min="3082" max="3083" width="14.140625" style="31" customWidth="1"/>
    <col min="3084" max="3084" width="15.140625" style="31" customWidth="1"/>
    <col min="3085" max="3085" width="21.5703125" style="31" customWidth="1"/>
    <col min="3086" max="3327" width="9.140625" style="31"/>
    <col min="3328" max="3328" width="6.5703125" style="31" customWidth="1"/>
    <col min="3329" max="3329" width="35.28515625" style="31" customWidth="1"/>
    <col min="3330" max="3330" width="14" style="31" customWidth="1"/>
    <col min="3331" max="3331" width="11.42578125" style="31" customWidth="1"/>
    <col min="3332" max="3332" width="21.7109375" style="31" customWidth="1"/>
    <col min="3333" max="3333" width="13.7109375" style="31" customWidth="1"/>
    <col min="3334" max="3334" width="14.85546875" style="31" customWidth="1"/>
    <col min="3335" max="3335" width="19.5703125" style="31" customWidth="1"/>
    <col min="3336" max="3336" width="13.7109375" style="31" customWidth="1"/>
    <col min="3337" max="3337" width="14.7109375" style="31" customWidth="1"/>
    <col min="3338" max="3339" width="14.140625" style="31" customWidth="1"/>
    <col min="3340" max="3340" width="15.140625" style="31" customWidth="1"/>
    <col min="3341" max="3341" width="21.5703125" style="31" customWidth="1"/>
    <col min="3342" max="3583" width="9.140625" style="31"/>
    <col min="3584" max="3584" width="6.5703125" style="31" customWidth="1"/>
    <col min="3585" max="3585" width="35.28515625" style="31" customWidth="1"/>
    <col min="3586" max="3586" width="14" style="31" customWidth="1"/>
    <col min="3587" max="3587" width="11.42578125" style="31" customWidth="1"/>
    <col min="3588" max="3588" width="21.7109375" style="31" customWidth="1"/>
    <col min="3589" max="3589" width="13.7109375" style="31" customWidth="1"/>
    <col min="3590" max="3590" width="14.85546875" style="31" customWidth="1"/>
    <col min="3591" max="3591" width="19.5703125" style="31" customWidth="1"/>
    <col min="3592" max="3592" width="13.7109375" style="31" customWidth="1"/>
    <col min="3593" max="3593" width="14.7109375" style="31" customWidth="1"/>
    <col min="3594" max="3595" width="14.140625" style="31" customWidth="1"/>
    <col min="3596" max="3596" width="15.140625" style="31" customWidth="1"/>
    <col min="3597" max="3597" width="21.5703125" style="31" customWidth="1"/>
    <col min="3598" max="3839" width="9.140625" style="31"/>
    <col min="3840" max="3840" width="6.5703125" style="31" customWidth="1"/>
    <col min="3841" max="3841" width="35.28515625" style="31" customWidth="1"/>
    <col min="3842" max="3842" width="14" style="31" customWidth="1"/>
    <col min="3843" max="3843" width="11.42578125" style="31" customWidth="1"/>
    <col min="3844" max="3844" width="21.7109375" style="31" customWidth="1"/>
    <col min="3845" max="3845" width="13.7109375" style="31" customWidth="1"/>
    <col min="3846" max="3846" width="14.85546875" style="31" customWidth="1"/>
    <col min="3847" max="3847" width="19.5703125" style="31" customWidth="1"/>
    <col min="3848" max="3848" width="13.7109375" style="31" customWidth="1"/>
    <col min="3849" max="3849" width="14.7109375" style="31" customWidth="1"/>
    <col min="3850" max="3851" width="14.140625" style="31" customWidth="1"/>
    <col min="3852" max="3852" width="15.140625" style="31" customWidth="1"/>
    <col min="3853" max="3853" width="21.5703125" style="31" customWidth="1"/>
    <col min="3854" max="4095" width="9.140625" style="31"/>
    <col min="4096" max="4096" width="6.5703125" style="31" customWidth="1"/>
    <col min="4097" max="4097" width="35.28515625" style="31" customWidth="1"/>
    <col min="4098" max="4098" width="14" style="31" customWidth="1"/>
    <col min="4099" max="4099" width="11.42578125" style="31" customWidth="1"/>
    <col min="4100" max="4100" width="21.7109375" style="31" customWidth="1"/>
    <col min="4101" max="4101" width="13.7109375" style="31" customWidth="1"/>
    <col min="4102" max="4102" width="14.85546875" style="31" customWidth="1"/>
    <col min="4103" max="4103" width="19.5703125" style="31" customWidth="1"/>
    <col min="4104" max="4104" width="13.7109375" style="31" customWidth="1"/>
    <col min="4105" max="4105" width="14.7109375" style="31" customWidth="1"/>
    <col min="4106" max="4107" width="14.140625" style="31" customWidth="1"/>
    <col min="4108" max="4108" width="15.140625" style="31" customWidth="1"/>
    <col min="4109" max="4109" width="21.5703125" style="31" customWidth="1"/>
    <col min="4110" max="4351" width="9.140625" style="31"/>
    <col min="4352" max="4352" width="6.5703125" style="31" customWidth="1"/>
    <col min="4353" max="4353" width="35.28515625" style="31" customWidth="1"/>
    <col min="4354" max="4354" width="14" style="31" customWidth="1"/>
    <col min="4355" max="4355" width="11.42578125" style="31" customWidth="1"/>
    <col min="4356" max="4356" width="21.7109375" style="31" customWidth="1"/>
    <col min="4357" max="4357" width="13.7109375" style="31" customWidth="1"/>
    <col min="4358" max="4358" width="14.85546875" style="31" customWidth="1"/>
    <col min="4359" max="4359" width="19.5703125" style="31" customWidth="1"/>
    <col min="4360" max="4360" width="13.7109375" style="31" customWidth="1"/>
    <col min="4361" max="4361" width="14.7109375" style="31" customWidth="1"/>
    <col min="4362" max="4363" width="14.140625" style="31" customWidth="1"/>
    <col min="4364" max="4364" width="15.140625" style="31" customWidth="1"/>
    <col min="4365" max="4365" width="21.5703125" style="31" customWidth="1"/>
    <col min="4366" max="4607" width="9.140625" style="31"/>
    <col min="4608" max="4608" width="6.5703125" style="31" customWidth="1"/>
    <col min="4609" max="4609" width="35.28515625" style="31" customWidth="1"/>
    <col min="4610" max="4610" width="14" style="31" customWidth="1"/>
    <col min="4611" max="4611" width="11.42578125" style="31" customWidth="1"/>
    <col min="4612" max="4612" width="21.7109375" style="31" customWidth="1"/>
    <col min="4613" max="4613" width="13.7109375" style="31" customWidth="1"/>
    <col min="4614" max="4614" width="14.85546875" style="31" customWidth="1"/>
    <col min="4615" max="4615" width="19.5703125" style="31" customWidth="1"/>
    <col min="4616" max="4616" width="13.7109375" style="31" customWidth="1"/>
    <col min="4617" max="4617" width="14.7109375" style="31" customWidth="1"/>
    <col min="4618" max="4619" width="14.140625" style="31" customWidth="1"/>
    <col min="4620" max="4620" width="15.140625" style="31" customWidth="1"/>
    <col min="4621" max="4621" width="21.5703125" style="31" customWidth="1"/>
    <col min="4622" max="4863" width="9.140625" style="31"/>
    <col min="4864" max="4864" width="6.5703125" style="31" customWidth="1"/>
    <col min="4865" max="4865" width="35.28515625" style="31" customWidth="1"/>
    <col min="4866" max="4866" width="14" style="31" customWidth="1"/>
    <col min="4867" max="4867" width="11.42578125" style="31" customWidth="1"/>
    <col min="4868" max="4868" width="21.7109375" style="31" customWidth="1"/>
    <col min="4869" max="4869" width="13.7109375" style="31" customWidth="1"/>
    <col min="4870" max="4870" width="14.85546875" style="31" customWidth="1"/>
    <col min="4871" max="4871" width="19.5703125" style="31" customWidth="1"/>
    <col min="4872" max="4872" width="13.7109375" style="31" customWidth="1"/>
    <col min="4873" max="4873" width="14.7109375" style="31" customWidth="1"/>
    <col min="4874" max="4875" width="14.140625" style="31" customWidth="1"/>
    <col min="4876" max="4876" width="15.140625" style="31" customWidth="1"/>
    <col min="4877" max="4877" width="21.5703125" style="31" customWidth="1"/>
    <col min="4878" max="5119" width="9.140625" style="31"/>
    <col min="5120" max="5120" width="6.5703125" style="31" customWidth="1"/>
    <col min="5121" max="5121" width="35.28515625" style="31" customWidth="1"/>
    <col min="5122" max="5122" width="14" style="31" customWidth="1"/>
    <col min="5123" max="5123" width="11.42578125" style="31" customWidth="1"/>
    <col min="5124" max="5124" width="21.7109375" style="31" customWidth="1"/>
    <col min="5125" max="5125" width="13.7109375" style="31" customWidth="1"/>
    <col min="5126" max="5126" width="14.85546875" style="31" customWidth="1"/>
    <col min="5127" max="5127" width="19.5703125" style="31" customWidth="1"/>
    <col min="5128" max="5128" width="13.7109375" style="31" customWidth="1"/>
    <col min="5129" max="5129" width="14.7109375" style="31" customWidth="1"/>
    <col min="5130" max="5131" width="14.140625" style="31" customWidth="1"/>
    <col min="5132" max="5132" width="15.140625" style="31" customWidth="1"/>
    <col min="5133" max="5133" width="21.5703125" style="31" customWidth="1"/>
    <col min="5134" max="5375" width="9.140625" style="31"/>
    <col min="5376" max="5376" width="6.5703125" style="31" customWidth="1"/>
    <col min="5377" max="5377" width="35.28515625" style="31" customWidth="1"/>
    <col min="5378" max="5378" width="14" style="31" customWidth="1"/>
    <col min="5379" max="5379" width="11.42578125" style="31" customWidth="1"/>
    <col min="5380" max="5380" width="21.7109375" style="31" customWidth="1"/>
    <col min="5381" max="5381" width="13.7109375" style="31" customWidth="1"/>
    <col min="5382" max="5382" width="14.85546875" style="31" customWidth="1"/>
    <col min="5383" max="5383" width="19.5703125" style="31" customWidth="1"/>
    <col min="5384" max="5384" width="13.7109375" style="31" customWidth="1"/>
    <col min="5385" max="5385" width="14.7109375" style="31" customWidth="1"/>
    <col min="5386" max="5387" width="14.140625" style="31" customWidth="1"/>
    <col min="5388" max="5388" width="15.140625" style="31" customWidth="1"/>
    <col min="5389" max="5389" width="21.5703125" style="31" customWidth="1"/>
    <col min="5390" max="5631" width="9.140625" style="31"/>
    <col min="5632" max="5632" width="6.5703125" style="31" customWidth="1"/>
    <col min="5633" max="5633" width="35.28515625" style="31" customWidth="1"/>
    <col min="5634" max="5634" width="14" style="31" customWidth="1"/>
    <col min="5635" max="5635" width="11.42578125" style="31" customWidth="1"/>
    <col min="5636" max="5636" width="21.7109375" style="31" customWidth="1"/>
    <col min="5637" max="5637" width="13.7109375" style="31" customWidth="1"/>
    <col min="5638" max="5638" width="14.85546875" style="31" customWidth="1"/>
    <col min="5639" max="5639" width="19.5703125" style="31" customWidth="1"/>
    <col min="5640" max="5640" width="13.7109375" style="31" customWidth="1"/>
    <col min="5641" max="5641" width="14.7109375" style="31" customWidth="1"/>
    <col min="5642" max="5643" width="14.140625" style="31" customWidth="1"/>
    <col min="5644" max="5644" width="15.140625" style="31" customWidth="1"/>
    <col min="5645" max="5645" width="21.5703125" style="31" customWidth="1"/>
    <col min="5646" max="5887" width="9.140625" style="31"/>
    <col min="5888" max="5888" width="6.5703125" style="31" customWidth="1"/>
    <col min="5889" max="5889" width="35.28515625" style="31" customWidth="1"/>
    <col min="5890" max="5890" width="14" style="31" customWidth="1"/>
    <col min="5891" max="5891" width="11.42578125" style="31" customWidth="1"/>
    <col min="5892" max="5892" width="21.7109375" style="31" customWidth="1"/>
    <col min="5893" max="5893" width="13.7109375" style="31" customWidth="1"/>
    <col min="5894" max="5894" width="14.85546875" style="31" customWidth="1"/>
    <col min="5895" max="5895" width="19.5703125" style="31" customWidth="1"/>
    <col min="5896" max="5896" width="13.7109375" style="31" customWidth="1"/>
    <col min="5897" max="5897" width="14.7109375" style="31" customWidth="1"/>
    <col min="5898" max="5899" width="14.140625" style="31" customWidth="1"/>
    <col min="5900" max="5900" width="15.140625" style="31" customWidth="1"/>
    <col min="5901" max="5901" width="21.5703125" style="31" customWidth="1"/>
    <col min="5902" max="6143" width="9.140625" style="31"/>
    <col min="6144" max="6144" width="6.5703125" style="31" customWidth="1"/>
    <col min="6145" max="6145" width="35.28515625" style="31" customWidth="1"/>
    <col min="6146" max="6146" width="14" style="31" customWidth="1"/>
    <col min="6147" max="6147" width="11.42578125" style="31" customWidth="1"/>
    <col min="6148" max="6148" width="21.7109375" style="31" customWidth="1"/>
    <col min="6149" max="6149" width="13.7109375" style="31" customWidth="1"/>
    <col min="6150" max="6150" width="14.85546875" style="31" customWidth="1"/>
    <col min="6151" max="6151" width="19.5703125" style="31" customWidth="1"/>
    <col min="6152" max="6152" width="13.7109375" style="31" customWidth="1"/>
    <col min="6153" max="6153" width="14.7109375" style="31" customWidth="1"/>
    <col min="6154" max="6155" width="14.140625" style="31" customWidth="1"/>
    <col min="6156" max="6156" width="15.140625" style="31" customWidth="1"/>
    <col min="6157" max="6157" width="21.5703125" style="31" customWidth="1"/>
    <col min="6158" max="6399" width="9.140625" style="31"/>
    <col min="6400" max="6400" width="6.5703125" style="31" customWidth="1"/>
    <col min="6401" max="6401" width="35.28515625" style="31" customWidth="1"/>
    <col min="6402" max="6402" width="14" style="31" customWidth="1"/>
    <col min="6403" max="6403" width="11.42578125" style="31" customWidth="1"/>
    <col min="6404" max="6404" width="21.7109375" style="31" customWidth="1"/>
    <col min="6405" max="6405" width="13.7109375" style="31" customWidth="1"/>
    <col min="6406" max="6406" width="14.85546875" style="31" customWidth="1"/>
    <col min="6407" max="6407" width="19.5703125" style="31" customWidth="1"/>
    <col min="6408" max="6408" width="13.7109375" style="31" customWidth="1"/>
    <col min="6409" max="6409" width="14.7109375" style="31" customWidth="1"/>
    <col min="6410" max="6411" width="14.140625" style="31" customWidth="1"/>
    <col min="6412" max="6412" width="15.140625" style="31" customWidth="1"/>
    <col min="6413" max="6413" width="21.5703125" style="31" customWidth="1"/>
    <col min="6414" max="6655" width="9.140625" style="31"/>
    <col min="6656" max="6656" width="6.5703125" style="31" customWidth="1"/>
    <col min="6657" max="6657" width="35.28515625" style="31" customWidth="1"/>
    <col min="6658" max="6658" width="14" style="31" customWidth="1"/>
    <col min="6659" max="6659" width="11.42578125" style="31" customWidth="1"/>
    <col min="6660" max="6660" width="21.7109375" style="31" customWidth="1"/>
    <col min="6661" max="6661" width="13.7109375" style="31" customWidth="1"/>
    <col min="6662" max="6662" width="14.85546875" style="31" customWidth="1"/>
    <col min="6663" max="6663" width="19.5703125" style="31" customWidth="1"/>
    <col min="6664" max="6664" width="13.7109375" style="31" customWidth="1"/>
    <col min="6665" max="6665" width="14.7109375" style="31" customWidth="1"/>
    <col min="6666" max="6667" width="14.140625" style="31" customWidth="1"/>
    <col min="6668" max="6668" width="15.140625" style="31" customWidth="1"/>
    <col min="6669" max="6669" width="21.5703125" style="31" customWidth="1"/>
    <col min="6670" max="6911" width="9.140625" style="31"/>
    <col min="6912" max="6912" width="6.5703125" style="31" customWidth="1"/>
    <col min="6913" max="6913" width="35.28515625" style="31" customWidth="1"/>
    <col min="6914" max="6914" width="14" style="31" customWidth="1"/>
    <col min="6915" max="6915" width="11.42578125" style="31" customWidth="1"/>
    <col min="6916" max="6916" width="21.7109375" style="31" customWidth="1"/>
    <col min="6917" max="6917" width="13.7109375" style="31" customWidth="1"/>
    <col min="6918" max="6918" width="14.85546875" style="31" customWidth="1"/>
    <col min="6919" max="6919" width="19.5703125" style="31" customWidth="1"/>
    <col min="6920" max="6920" width="13.7109375" style="31" customWidth="1"/>
    <col min="6921" max="6921" width="14.7109375" style="31" customWidth="1"/>
    <col min="6922" max="6923" width="14.140625" style="31" customWidth="1"/>
    <col min="6924" max="6924" width="15.140625" style="31" customWidth="1"/>
    <col min="6925" max="6925" width="21.5703125" style="31" customWidth="1"/>
    <col min="6926" max="7167" width="9.140625" style="31"/>
    <col min="7168" max="7168" width="6.5703125" style="31" customWidth="1"/>
    <col min="7169" max="7169" width="35.28515625" style="31" customWidth="1"/>
    <col min="7170" max="7170" width="14" style="31" customWidth="1"/>
    <col min="7171" max="7171" width="11.42578125" style="31" customWidth="1"/>
    <col min="7172" max="7172" width="21.7109375" style="31" customWidth="1"/>
    <col min="7173" max="7173" width="13.7109375" style="31" customWidth="1"/>
    <col min="7174" max="7174" width="14.85546875" style="31" customWidth="1"/>
    <col min="7175" max="7175" width="19.5703125" style="31" customWidth="1"/>
    <col min="7176" max="7176" width="13.7109375" style="31" customWidth="1"/>
    <col min="7177" max="7177" width="14.7109375" style="31" customWidth="1"/>
    <col min="7178" max="7179" width="14.140625" style="31" customWidth="1"/>
    <col min="7180" max="7180" width="15.140625" style="31" customWidth="1"/>
    <col min="7181" max="7181" width="21.5703125" style="31" customWidth="1"/>
    <col min="7182" max="7423" width="9.140625" style="31"/>
    <col min="7424" max="7424" width="6.5703125" style="31" customWidth="1"/>
    <col min="7425" max="7425" width="35.28515625" style="31" customWidth="1"/>
    <col min="7426" max="7426" width="14" style="31" customWidth="1"/>
    <col min="7427" max="7427" width="11.42578125" style="31" customWidth="1"/>
    <col min="7428" max="7428" width="21.7109375" style="31" customWidth="1"/>
    <col min="7429" max="7429" width="13.7109375" style="31" customWidth="1"/>
    <col min="7430" max="7430" width="14.85546875" style="31" customWidth="1"/>
    <col min="7431" max="7431" width="19.5703125" style="31" customWidth="1"/>
    <col min="7432" max="7432" width="13.7109375" style="31" customWidth="1"/>
    <col min="7433" max="7433" width="14.7109375" style="31" customWidth="1"/>
    <col min="7434" max="7435" width="14.140625" style="31" customWidth="1"/>
    <col min="7436" max="7436" width="15.140625" style="31" customWidth="1"/>
    <col min="7437" max="7437" width="21.5703125" style="31" customWidth="1"/>
    <col min="7438" max="7679" width="9.140625" style="31"/>
    <col min="7680" max="7680" width="6.5703125" style="31" customWidth="1"/>
    <col min="7681" max="7681" width="35.28515625" style="31" customWidth="1"/>
    <col min="7682" max="7682" width="14" style="31" customWidth="1"/>
    <col min="7683" max="7683" width="11.42578125" style="31" customWidth="1"/>
    <col min="7684" max="7684" width="21.7109375" style="31" customWidth="1"/>
    <col min="7685" max="7685" width="13.7109375" style="31" customWidth="1"/>
    <col min="7686" max="7686" width="14.85546875" style="31" customWidth="1"/>
    <col min="7687" max="7687" width="19.5703125" style="31" customWidth="1"/>
    <col min="7688" max="7688" width="13.7109375" style="31" customWidth="1"/>
    <col min="7689" max="7689" width="14.7109375" style="31" customWidth="1"/>
    <col min="7690" max="7691" width="14.140625" style="31" customWidth="1"/>
    <col min="7692" max="7692" width="15.140625" style="31" customWidth="1"/>
    <col min="7693" max="7693" width="21.5703125" style="31" customWidth="1"/>
    <col min="7694" max="7935" width="9.140625" style="31"/>
    <col min="7936" max="7936" width="6.5703125" style="31" customWidth="1"/>
    <col min="7937" max="7937" width="35.28515625" style="31" customWidth="1"/>
    <col min="7938" max="7938" width="14" style="31" customWidth="1"/>
    <col min="7939" max="7939" width="11.42578125" style="31" customWidth="1"/>
    <col min="7940" max="7940" width="21.7109375" style="31" customWidth="1"/>
    <col min="7941" max="7941" width="13.7109375" style="31" customWidth="1"/>
    <col min="7942" max="7942" width="14.85546875" style="31" customWidth="1"/>
    <col min="7943" max="7943" width="19.5703125" style="31" customWidth="1"/>
    <col min="7944" max="7944" width="13.7109375" style="31" customWidth="1"/>
    <col min="7945" max="7945" width="14.7109375" style="31" customWidth="1"/>
    <col min="7946" max="7947" width="14.140625" style="31" customWidth="1"/>
    <col min="7948" max="7948" width="15.140625" style="31" customWidth="1"/>
    <col min="7949" max="7949" width="21.5703125" style="31" customWidth="1"/>
    <col min="7950" max="8191" width="9.140625" style="31"/>
    <col min="8192" max="8192" width="6.5703125" style="31" customWidth="1"/>
    <col min="8193" max="8193" width="35.28515625" style="31" customWidth="1"/>
    <col min="8194" max="8194" width="14" style="31" customWidth="1"/>
    <col min="8195" max="8195" width="11.42578125" style="31" customWidth="1"/>
    <col min="8196" max="8196" width="21.7109375" style="31" customWidth="1"/>
    <col min="8197" max="8197" width="13.7109375" style="31" customWidth="1"/>
    <col min="8198" max="8198" width="14.85546875" style="31" customWidth="1"/>
    <col min="8199" max="8199" width="19.5703125" style="31" customWidth="1"/>
    <col min="8200" max="8200" width="13.7109375" style="31" customWidth="1"/>
    <col min="8201" max="8201" width="14.7109375" style="31" customWidth="1"/>
    <col min="8202" max="8203" width="14.140625" style="31" customWidth="1"/>
    <col min="8204" max="8204" width="15.140625" style="31" customWidth="1"/>
    <col min="8205" max="8205" width="21.5703125" style="31" customWidth="1"/>
    <col min="8206" max="8447" width="9.140625" style="31"/>
    <col min="8448" max="8448" width="6.5703125" style="31" customWidth="1"/>
    <col min="8449" max="8449" width="35.28515625" style="31" customWidth="1"/>
    <col min="8450" max="8450" width="14" style="31" customWidth="1"/>
    <col min="8451" max="8451" width="11.42578125" style="31" customWidth="1"/>
    <col min="8452" max="8452" width="21.7109375" style="31" customWidth="1"/>
    <col min="8453" max="8453" width="13.7109375" style="31" customWidth="1"/>
    <col min="8454" max="8454" width="14.85546875" style="31" customWidth="1"/>
    <col min="8455" max="8455" width="19.5703125" style="31" customWidth="1"/>
    <col min="8456" max="8456" width="13.7109375" style="31" customWidth="1"/>
    <col min="8457" max="8457" width="14.7109375" style="31" customWidth="1"/>
    <col min="8458" max="8459" width="14.140625" style="31" customWidth="1"/>
    <col min="8460" max="8460" width="15.140625" style="31" customWidth="1"/>
    <col min="8461" max="8461" width="21.5703125" style="31" customWidth="1"/>
    <col min="8462" max="8703" width="9.140625" style="31"/>
    <col min="8704" max="8704" width="6.5703125" style="31" customWidth="1"/>
    <col min="8705" max="8705" width="35.28515625" style="31" customWidth="1"/>
    <col min="8706" max="8706" width="14" style="31" customWidth="1"/>
    <col min="8707" max="8707" width="11.42578125" style="31" customWidth="1"/>
    <col min="8708" max="8708" width="21.7109375" style="31" customWidth="1"/>
    <col min="8709" max="8709" width="13.7109375" style="31" customWidth="1"/>
    <col min="8710" max="8710" width="14.85546875" style="31" customWidth="1"/>
    <col min="8711" max="8711" width="19.5703125" style="31" customWidth="1"/>
    <col min="8712" max="8712" width="13.7109375" style="31" customWidth="1"/>
    <col min="8713" max="8713" width="14.7109375" style="31" customWidth="1"/>
    <col min="8714" max="8715" width="14.140625" style="31" customWidth="1"/>
    <col min="8716" max="8716" width="15.140625" style="31" customWidth="1"/>
    <col min="8717" max="8717" width="21.5703125" style="31" customWidth="1"/>
    <col min="8718" max="8959" width="9.140625" style="31"/>
    <col min="8960" max="8960" width="6.5703125" style="31" customWidth="1"/>
    <col min="8961" max="8961" width="35.28515625" style="31" customWidth="1"/>
    <col min="8962" max="8962" width="14" style="31" customWidth="1"/>
    <col min="8963" max="8963" width="11.42578125" style="31" customWidth="1"/>
    <col min="8964" max="8964" width="21.7109375" style="31" customWidth="1"/>
    <col min="8965" max="8965" width="13.7109375" style="31" customWidth="1"/>
    <col min="8966" max="8966" width="14.85546875" style="31" customWidth="1"/>
    <col min="8967" max="8967" width="19.5703125" style="31" customWidth="1"/>
    <col min="8968" max="8968" width="13.7109375" style="31" customWidth="1"/>
    <col min="8969" max="8969" width="14.7109375" style="31" customWidth="1"/>
    <col min="8970" max="8971" width="14.140625" style="31" customWidth="1"/>
    <col min="8972" max="8972" width="15.140625" style="31" customWidth="1"/>
    <col min="8973" max="8973" width="21.5703125" style="31" customWidth="1"/>
    <col min="8974" max="9215" width="9.140625" style="31"/>
    <col min="9216" max="9216" width="6.5703125" style="31" customWidth="1"/>
    <col min="9217" max="9217" width="35.28515625" style="31" customWidth="1"/>
    <col min="9218" max="9218" width="14" style="31" customWidth="1"/>
    <col min="9219" max="9219" width="11.42578125" style="31" customWidth="1"/>
    <col min="9220" max="9220" width="21.7109375" style="31" customWidth="1"/>
    <col min="9221" max="9221" width="13.7109375" style="31" customWidth="1"/>
    <col min="9222" max="9222" width="14.85546875" style="31" customWidth="1"/>
    <col min="9223" max="9223" width="19.5703125" style="31" customWidth="1"/>
    <col min="9224" max="9224" width="13.7109375" style="31" customWidth="1"/>
    <col min="9225" max="9225" width="14.7109375" style="31" customWidth="1"/>
    <col min="9226" max="9227" width="14.140625" style="31" customWidth="1"/>
    <col min="9228" max="9228" width="15.140625" style="31" customWidth="1"/>
    <col min="9229" max="9229" width="21.5703125" style="31" customWidth="1"/>
    <col min="9230" max="9471" width="9.140625" style="31"/>
    <col min="9472" max="9472" width="6.5703125" style="31" customWidth="1"/>
    <col min="9473" max="9473" width="35.28515625" style="31" customWidth="1"/>
    <col min="9474" max="9474" width="14" style="31" customWidth="1"/>
    <col min="9475" max="9475" width="11.42578125" style="31" customWidth="1"/>
    <col min="9476" max="9476" width="21.7109375" style="31" customWidth="1"/>
    <col min="9477" max="9477" width="13.7109375" style="31" customWidth="1"/>
    <col min="9478" max="9478" width="14.85546875" style="31" customWidth="1"/>
    <col min="9479" max="9479" width="19.5703125" style="31" customWidth="1"/>
    <col min="9480" max="9480" width="13.7109375" style="31" customWidth="1"/>
    <col min="9481" max="9481" width="14.7109375" style="31" customWidth="1"/>
    <col min="9482" max="9483" width="14.140625" style="31" customWidth="1"/>
    <col min="9484" max="9484" width="15.140625" style="31" customWidth="1"/>
    <col min="9485" max="9485" width="21.5703125" style="31" customWidth="1"/>
    <col min="9486" max="9727" width="9.140625" style="31"/>
    <col min="9728" max="9728" width="6.5703125" style="31" customWidth="1"/>
    <col min="9729" max="9729" width="35.28515625" style="31" customWidth="1"/>
    <col min="9730" max="9730" width="14" style="31" customWidth="1"/>
    <col min="9731" max="9731" width="11.42578125" style="31" customWidth="1"/>
    <col min="9732" max="9732" width="21.7109375" style="31" customWidth="1"/>
    <col min="9733" max="9733" width="13.7109375" style="31" customWidth="1"/>
    <col min="9734" max="9734" width="14.85546875" style="31" customWidth="1"/>
    <col min="9735" max="9735" width="19.5703125" style="31" customWidth="1"/>
    <col min="9736" max="9736" width="13.7109375" style="31" customWidth="1"/>
    <col min="9737" max="9737" width="14.7109375" style="31" customWidth="1"/>
    <col min="9738" max="9739" width="14.140625" style="31" customWidth="1"/>
    <col min="9740" max="9740" width="15.140625" style="31" customWidth="1"/>
    <col min="9741" max="9741" width="21.5703125" style="31" customWidth="1"/>
    <col min="9742" max="9983" width="9.140625" style="31"/>
    <col min="9984" max="9984" width="6.5703125" style="31" customWidth="1"/>
    <col min="9985" max="9985" width="35.28515625" style="31" customWidth="1"/>
    <col min="9986" max="9986" width="14" style="31" customWidth="1"/>
    <col min="9987" max="9987" width="11.42578125" style="31" customWidth="1"/>
    <col min="9988" max="9988" width="21.7109375" style="31" customWidth="1"/>
    <col min="9989" max="9989" width="13.7109375" style="31" customWidth="1"/>
    <col min="9990" max="9990" width="14.85546875" style="31" customWidth="1"/>
    <col min="9991" max="9991" width="19.5703125" style="31" customWidth="1"/>
    <col min="9992" max="9992" width="13.7109375" style="31" customWidth="1"/>
    <col min="9993" max="9993" width="14.7109375" style="31" customWidth="1"/>
    <col min="9994" max="9995" width="14.140625" style="31" customWidth="1"/>
    <col min="9996" max="9996" width="15.140625" style="31" customWidth="1"/>
    <col min="9997" max="9997" width="21.5703125" style="31" customWidth="1"/>
    <col min="9998" max="10239" width="9.140625" style="31"/>
    <col min="10240" max="10240" width="6.5703125" style="31" customWidth="1"/>
    <col min="10241" max="10241" width="35.28515625" style="31" customWidth="1"/>
    <col min="10242" max="10242" width="14" style="31" customWidth="1"/>
    <col min="10243" max="10243" width="11.42578125" style="31" customWidth="1"/>
    <col min="10244" max="10244" width="21.7109375" style="31" customWidth="1"/>
    <col min="10245" max="10245" width="13.7109375" style="31" customWidth="1"/>
    <col min="10246" max="10246" width="14.85546875" style="31" customWidth="1"/>
    <col min="10247" max="10247" width="19.5703125" style="31" customWidth="1"/>
    <col min="10248" max="10248" width="13.7109375" style="31" customWidth="1"/>
    <col min="10249" max="10249" width="14.7109375" style="31" customWidth="1"/>
    <col min="10250" max="10251" width="14.140625" style="31" customWidth="1"/>
    <col min="10252" max="10252" width="15.140625" style="31" customWidth="1"/>
    <col min="10253" max="10253" width="21.5703125" style="31" customWidth="1"/>
    <col min="10254" max="10495" width="9.140625" style="31"/>
    <col min="10496" max="10496" width="6.5703125" style="31" customWidth="1"/>
    <col min="10497" max="10497" width="35.28515625" style="31" customWidth="1"/>
    <col min="10498" max="10498" width="14" style="31" customWidth="1"/>
    <col min="10499" max="10499" width="11.42578125" style="31" customWidth="1"/>
    <col min="10500" max="10500" width="21.7109375" style="31" customWidth="1"/>
    <col min="10501" max="10501" width="13.7109375" style="31" customWidth="1"/>
    <col min="10502" max="10502" width="14.85546875" style="31" customWidth="1"/>
    <col min="10503" max="10503" width="19.5703125" style="31" customWidth="1"/>
    <col min="10504" max="10504" width="13.7109375" style="31" customWidth="1"/>
    <col min="10505" max="10505" width="14.7109375" style="31" customWidth="1"/>
    <col min="10506" max="10507" width="14.140625" style="31" customWidth="1"/>
    <col min="10508" max="10508" width="15.140625" style="31" customWidth="1"/>
    <col min="10509" max="10509" width="21.5703125" style="31" customWidth="1"/>
    <col min="10510" max="10751" width="9.140625" style="31"/>
    <col min="10752" max="10752" width="6.5703125" style="31" customWidth="1"/>
    <col min="10753" max="10753" width="35.28515625" style="31" customWidth="1"/>
    <col min="10754" max="10754" width="14" style="31" customWidth="1"/>
    <col min="10755" max="10755" width="11.42578125" style="31" customWidth="1"/>
    <col min="10756" max="10756" width="21.7109375" style="31" customWidth="1"/>
    <col min="10757" max="10757" width="13.7109375" style="31" customWidth="1"/>
    <col min="10758" max="10758" width="14.85546875" style="31" customWidth="1"/>
    <col min="10759" max="10759" width="19.5703125" style="31" customWidth="1"/>
    <col min="10760" max="10760" width="13.7109375" style="31" customWidth="1"/>
    <col min="10761" max="10761" width="14.7109375" style="31" customWidth="1"/>
    <col min="10762" max="10763" width="14.140625" style="31" customWidth="1"/>
    <col min="10764" max="10764" width="15.140625" style="31" customWidth="1"/>
    <col min="10765" max="10765" width="21.5703125" style="31" customWidth="1"/>
    <col min="10766" max="11007" width="9.140625" style="31"/>
    <col min="11008" max="11008" width="6.5703125" style="31" customWidth="1"/>
    <col min="11009" max="11009" width="35.28515625" style="31" customWidth="1"/>
    <col min="11010" max="11010" width="14" style="31" customWidth="1"/>
    <col min="11011" max="11011" width="11.42578125" style="31" customWidth="1"/>
    <col min="11012" max="11012" width="21.7109375" style="31" customWidth="1"/>
    <col min="11013" max="11013" width="13.7109375" style="31" customWidth="1"/>
    <col min="11014" max="11014" width="14.85546875" style="31" customWidth="1"/>
    <col min="11015" max="11015" width="19.5703125" style="31" customWidth="1"/>
    <col min="11016" max="11016" width="13.7109375" style="31" customWidth="1"/>
    <col min="11017" max="11017" width="14.7109375" style="31" customWidth="1"/>
    <col min="11018" max="11019" width="14.140625" style="31" customWidth="1"/>
    <col min="11020" max="11020" width="15.140625" style="31" customWidth="1"/>
    <col min="11021" max="11021" width="21.5703125" style="31" customWidth="1"/>
    <col min="11022" max="11263" width="9.140625" style="31"/>
    <col min="11264" max="11264" width="6.5703125" style="31" customWidth="1"/>
    <col min="11265" max="11265" width="35.28515625" style="31" customWidth="1"/>
    <col min="11266" max="11266" width="14" style="31" customWidth="1"/>
    <col min="11267" max="11267" width="11.42578125" style="31" customWidth="1"/>
    <col min="11268" max="11268" width="21.7109375" style="31" customWidth="1"/>
    <col min="11269" max="11269" width="13.7109375" style="31" customWidth="1"/>
    <col min="11270" max="11270" width="14.85546875" style="31" customWidth="1"/>
    <col min="11271" max="11271" width="19.5703125" style="31" customWidth="1"/>
    <col min="11272" max="11272" width="13.7109375" style="31" customWidth="1"/>
    <col min="11273" max="11273" width="14.7109375" style="31" customWidth="1"/>
    <col min="11274" max="11275" width="14.140625" style="31" customWidth="1"/>
    <col min="11276" max="11276" width="15.140625" style="31" customWidth="1"/>
    <col min="11277" max="11277" width="21.5703125" style="31" customWidth="1"/>
    <col min="11278" max="11519" width="9.140625" style="31"/>
    <col min="11520" max="11520" width="6.5703125" style="31" customWidth="1"/>
    <col min="11521" max="11521" width="35.28515625" style="31" customWidth="1"/>
    <col min="11522" max="11522" width="14" style="31" customWidth="1"/>
    <col min="11523" max="11523" width="11.42578125" style="31" customWidth="1"/>
    <col min="11524" max="11524" width="21.7109375" style="31" customWidth="1"/>
    <col min="11525" max="11525" width="13.7109375" style="31" customWidth="1"/>
    <col min="11526" max="11526" width="14.85546875" style="31" customWidth="1"/>
    <col min="11527" max="11527" width="19.5703125" style="31" customWidth="1"/>
    <col min="11528" max="11528" width="13.7109375" style="31" customWidth="1"/>
    <col min="11529" max="11529" width="14.7109375" style="31" customWidth="1"/>
    <col min="11530" max="11531" width="14.140625" style="31" customWidth="1"/>
    <col min="11532" max="11532" width="15.140625" style="31" customWidth="1"/>
    <col min="11533" max="11533" width="21.5703125" style="31" customWidth="1"/>
    <col min="11534" max="11775" width="9.140625" style="31"/>
    <col min="11776" max="11776" width="6.5703125" style="31" customWidth="1"/>
    <col min="11777" max="11777" width="35.28515625" style="31" customWidth="1"/>
    <col min="11778" max="11778" width="14" style="31" customWidth="1"/>
    <col min="11779" max="11779" width="11.42578125" style="31" customWidth="1"/>
    <col min="11780" max="11780" width="21.7109375" style="31" customWidth="1"/>
    <col min="11781" max="11781" width="13.7109375" style="31" customWidth="1"/>
    <col min="11782" max="11782" width="14.85546875" style="31" customWidth="1"/>
    <col min="11783" max="11783" width="19.5703125" style="31" customWidth="1"/>
    <col min="11784" max="11784" width="13.7109375" style="31" customWidth="1"/>
    <col min="11785" max="11785" width="14.7109375" style="31" customWidth="1"/>
    <col min="11786" max="11787" width="14.140625" style="31" customWidth="1"/>
    <col min="11788" max="11788" width="15.140625" style="31" customWidth="1"/>
    <col min="11789" max="11789" width="21.5703125" style="31" customWidth="1"/>
    <col min="11790" max="12031" width="9.140625" style="31"/>
    <col min="12032" max="12032" width="6.5703125" style="31" customWidth="1"/>
    <col min="12033" max="12033" width="35.28515625" style="31" customWidth="1"/>
    <col min="12034" max="12034" width="14" style="31" customWidth="1"/>
    <col min="12035" max="12035" width="11.42578125" style="31" customWidth="1"/>
    <col min="12036" max="12036" width="21.7109375" style="31" customWidth="1"/>
    <col min="12037" max="12037" width="13.7109375" style="31" customWidth="1"/>
    <col min="12038" max="12038" width="14.85546875" style="31" customWidth="1"/>
    <col min="12039" max="12039" width="19.5703125" style="31" customWidth="1"/>
    <col min="12040" max="12040" width="13.7109375" style="31" customWidth="1"/>
    <col min="12041" max="12041" width="14.7109375" style="31" customWidth="1"/>
    <col min="12042" max="12043" width="14.140625" style="31" customWidth="1"/>
    <col min="12044" max="12044" width="15.140625" style="31" customWidth="1"/>
    <col min="12045" max="12045" width="21.5703125" style="31" customWidth="1"/>
    <col min="12046" max="12287" width="9.140625" style="31"/>
    <col min="12288" max="12288" width="6.5703125" style="31" customWidth="1"/>
    <col min="12289" max="12289" width="35.28515625" style="31" customWidth="1"/>
    <col min="12290" max="12290" width="14" style="31" customWidth="1"/>
    <col min="12291" max="12291" width="11.42578125" style="31" customWidth="1"/>
    <col min="12292" max="12292" width="21.7109375" style="31" customWidth="1"/>
    <col min="12293" max="12293" width="13.7109375" style="31" customWidth="1"/>
    <col min="12294" max="12294" width="14.85546875" style="31" customWidth="1"/>
    <col min="12295" max="12295" width="19.5703125" style="31" customWidth="1"/>
    <col min="12296" max="12296" width="13.7109375" style="31" customWidth="1"/>
    <col min="12297" max="12297" width="14.7109375" style="31" customWidth="1"/>
    <col min="12298" max="12299" width="14.140625" style="31" customWidth="1"/>
    <col min="12300" max="12300" width="15.140625" style="31" customWidth="1"/>
    <col min="12301" max="12301" width="21.5703125" style="31" customWidth="1"/>
    <col min="12302" max="12543" width="9.140625" style="31"/>
    <col min="12544" max="12544" width="6.5703125" style="31" customWidth="1"/>
    <col min="12545" max="12545" width="35.28515625" style="31" customWidth="1"/>
    <col min="12546" max="12546" width="14" style="31" customWidth="1"/>
    <col min="12547" max="12547" width="11.42578125" style="31" customWidth="1"/>
    <col min="12548" max="12548" width="21.7109375" style="31" customWidth="1"/>
    <col min="12549" max="12549" width="13.7109375" style="31" customWidth="1"/>
    <col min="12550" max="12550" width="14.85546875" style="31" customWidth="1"/>
    <col min="12551" max="12551" width="19.5703125" style="31" customWidth="1"/>
    <col min="12552" max="12552" width="13.7109375" style="31" customWidth="1"/>
    <col min="12553" max="12553" width="14.7109375" style="31" customWidth="1"/>
    <col min="12554" max="12555" width="14.140625" style="31" customWidth="1"/>
    <col min="12556" max="12556" width="15.140625" style="31" customWidth="1"/>
    <col min="12557" max="12557" width="21.5703125" style="31" customWidth="1"/>
    <col min="12558" max="12799" width="9.140625" style="31"/>
    <col min="12800" max="12800" width="6.5703125" style="31" customWidth="1"/>
    <col min="12801" max="12801" width="35.28515625" style="31" customWidth="1"/>
    <col min="12802" max="12802" width="14" style="31" customWidth="1"/>
    <col min="12803" max="12803" width="11.42578125" style="31" customWidth="1"/>
    <col min="12804" max="12804" width="21.7109375" style="31" customWidth="1"/>
    <col min="12805" max="12805" width="13.7109375" style="31" customWidth="1"/>
    <col min="12806" max="12806" width="14.85546875" style="31" customWidth="1"/>
    <col min="12807" max="12807" width="19.5703125" style="31" customWidth="1"/>
    <col min="12808" max="12808" width="13.7109375" style="31" customWidth="1"/>
    <col min="12809" max="12809" width="14.7109375" style="31" customWidth="1"/>
    <col min="12810" max="12811" width="14.140625" style="31" customWidth="1"/>
    <col min="12812" max="12812" width="15.140625" style="31" customWidth="1"/>
    <col min="12813" max="12813" width="21.5703125" style="31" customWidth="1"/>
    <col min="12814" max="13055" width="9.140625" style="31"/>
    <col min="13056" max="13056" width="6.5703125" style="31" customWidth="1"/>
    <col min="13057" max="13057" width="35.28515625" style="31" customWidth="1"/>
    <col min="13058" max="13058" width="14" style="31" customWidth="1"/>
    <col min="13059" max="13059" width="11.42578125" style="31" customWidth="1"/>
    <col min="13060" max="13060" width="21.7109375" style="31" customWidth="1"/>
    <col min="13061" max="13061" width="13.7109375" style="31" customWidth="1"/>
    <col min="13062" max="13062" width="14.85546875" style="31" customWidth="1"/>
    <col min="13063" max="13063" width="19.5703125" style="31" customWidth="1"/>
    <col min="13064" max="13064" width="13.7109375" style="31" customWidth="1"/>
    <col min="13065" max="13065" width="14.7109375" style="31" customWidth="1"/>
    <col min="13066" max="13067" width="14.140625" style="31" customWidth="1"/>
    <col min="13068" max="13068" width="15.140625" style="31" customWidth="1"/>
    <col min="13069" max="13069" width="21.5703125" style="31" customWidth="1"/>
    <col min="13070" max="13311" width="9.140625" style="31"/>
    <col min="13312" max="13312" width="6.5703125" style="31" customWidth="1"/>
    <col min="13313" max="13313" width="35.28515625" style="31" customWidth="1"/>
    <col min="13314" max="13314" width="14" style="31" customWidth="1"/>
    <col min="13315" max="13315" width="11.42578125" style="31" customWidth="1"/>
    <col min="13316" max="13316" width="21.7109375" style="31" customWidth="1"/>
    <col min="13317" max="13317" width="13.7109375" style="31" customWidth="1"/>
    <col min="13318" max="13318" width="14.85546875" style="31" customWidth="1"/>
    <col min="13319" max="13319" width="19.5703125" style="31" customWidth="1"/>
    <col min="13320" max="13320" width="13.7109375" style="31" customWidth="1"/>
    <col min="13321" max="13321" width="14.7109375" style="31" customWidth="1"/>
    <col min="13322" max="13323" width="14.140625" style="31" customWidth="1"/>
    <col min="13324" max="13324" width="15.140625" style="31" customWidth="1"/>
    <col min="13325" max="13325" width="21.5703125" style="31" customWidth="1"/>
    <col min="13326" max="13567" width="9.140625" style="31"/>
    <col min="13568" max="13568" width="6.5703125" style="31" customWidth="1"/>
    <col min="13569" max="13569" width="35.28515625" style="31" customWidth="1"/>
    <col min="13570" max="13570" width="14" style="31" customWidth="1"/>
    <col min="13571" max="13571" width="11.42578125" style="31" customWidth="1"/>
    <col min="13572" max="13572" width="21.7109375" style="31" customWidth="1"/>
    <col min="13573" max="13573" width="13.7109375" style="31" customWidth="1"/>
    <col min="13574" max="13574" width="14.85546875" style="31" customWidth="1"/>
    <col min="13575" max="13575" width="19.5703125" style="31" customWidth="1"/>
    <col min="13576" max="13576" width="13.7109375" style="31" customWidth="1"/>
    <col min="13577" max="13577" width="14.7109375" style="31" customWidth="1"/>
    <col min="13578" max="13579" width="14.140625" style="31" customWidth="1"/>
    <col min="13580" max="13580" width="15.140625" style="31" customWidth="1"/>
    <col min="13581" max="13581" width="21.5703125" style="31" customWidth="1"/>
    <col min="13582" max="13823" width="9.140625" style="31"/>
    <col min="13824" max="13824" width="6.5703125" style="31" customWidth="1"/>
    <col min="13825" max="13825" width="35.28515625" style="31" customWidth="1"/>
    <col min="13826" max="13826" width="14" style="31" customWidth="1"/>
    <col min="13827" max="13827" width="11.42578125" style="31" customWidth="1"/>
    <col min="13828" max="13828" width="21.7109375" style="31" customWidth="1"/>
    <col min="13829" max="13829" width="13.7109375" style="31" customWidth="1"/>
    <col min="13830" max="13830" width="14.85546875" style="31" customWidth="1"/>
    <col min="13831" max="13831" width="19.5703125" style="31" customWidth="1"/>
    <col min="13832" max="13832" width="13.7109375" style="31" customWidth="1"/>
    <col min="13833" max="13833" width="14.7109375" style="31" customWidth="1"/>
    <col min="13834" max="13835" width="14.140625" style="31" customWidth="1"/>
    <col min="13836" max="13836" width="15.140625" style="31" customWidth="1"/>
    <col min="13837" max="13837" width="21.5703125" style="31" customWidth="1"/>
    <col min="13838" max="14079" width="9.140625" style="31"/>
    <col min="14080" max="14080" width="6.5703125" style="31" customWidth="1"/>
    <col min="14081" max="14081" width="35.28515625" style="31" customWidth="1"/>
    <col min="14082" max="14082" width="14" style="31" customWidth="1"/>
    <col min="14083" max="14083" width="11.42578125" style="31" customWidth="1"/>
    <col min="14084" max="14084" width="21.7109375" style="31" customWidth="1"/>
    <col min="14085" max="14085" width="13.7109375" style="31" customWidth="1"/>
    <col min="14086" max="14086" width="14.85546875" style="31" customWidth="1"/>
    <col min="14087" max="14087" width="19.5703125" style="31" customWidth="1"/>
    <col min="14088" max="14088" width="13.7109375" style="31" customWidth="1"/>
    <col min="14089" max="14089" width="14.7109375" style="31" customWidth="1"/>
    <col min="14090" max="14091" width="14.140625" style="31" customWidth="1"/>
    <col min="14092" max="14092" width="15.140625" style="31" customWidth="1"/>
    <col min="14093" max="14093" width="21.5703125" style="31" customWidth="1"/>
    <col min="14094" max="14335" width="9.140625" style="31"/>
    <col min="14336" max="14336" width="6.5703125" style="31" customWidth="1"/>
    <col min="14337" max="14337" width="35.28515625" style="31" customWidth="1"/>
    <col min="14338" max="14338" width="14" style="31" customWidth="1"/>
    <col min="14339" max="14339" width="11.42578125" style="31" customWidth="1"/>
    <col min="14340" max="14340" width="21.7109375" style="31" customWidth="1"/>
    <col min="14341" max="14341" width="13.7109375" style="31" customWidth="1"/>
    <col min="14342" max="14342" width="14.85546875" style="31" customWidth="1"/>
    <col min="14343" max="14343" width="19.5703125" style="31" customWidth="1"/>
    <col min="14344" max="14344" width="13.7109375" style="31" customWidth="1"/>
    <col min="14345" max="14345" width="14.7109375" style="31" customWidth="1"/>
    <col min="14346" max="14347" width="14.140625" style="31" customWidth="1"/>
    <col min="14348" max="14348" width="15.140625" style="31" customWidth="1"/>
    <col min="14349" max="14349" width="21.5703125" style="31" customWidth="1"/>
    <col min="14350" max="14591" width="9.140625" style="31"/>
    <col min="14592" max="14592" width="6.5703125" style="31" customWidth="1"/>
    <col min="14593" max="14593" width="35.28515625" style="31" customWidth="1"/>
    <col min="14594" max="14594" width="14" style="31" customWidth="1"/>
    <col min="14595" max="14595" width="11.42578125" style="31" customWidth="1"/>
    <col min="14596" max="14596" width="21.7109375" style="31" customWidth="1"/>
    <col min="14597" max="14597" width="13.7109375" style="31" customWidth="1"/>
    <col min="14598" max="14598" width="14.85546875" style="31" customWidth="1"/>
    <col min="14599" max="14599" width="19.5703125" style="31" customWidth="1"/>
    <col min="14600" max="14600" width="13.7109375" style="31" customWidth="1"/>
    <col min="14601" max="14601" width="14.7109375" style="31" customWidth="1"/>
    <col min="14602" max="14603" width="14.140625" style="31" customWidth="1"/>
    <col min="14604" max="14604" width="15.140625" style="31" customWidth="1"/>
    <col min="14605" max="14605" width="21.5703125" style="31" customWidth="1"/>
    <col min="14606" max="14847" width="9.140625" style="31"/>
    <col min="14848" max="14848" width="6.5703125" style="31" customWidth="1"/>
    <col min="14849" max="14849" width="35.28515625" style="31" customWidth="1"/>
    <col min="14850" max="14850" width="14" style="31" customWidth="1"/>
    <col min="14851" max="14851" width="11.42578125" style="31" customWidth="1"/>
    <col min="14852" max="14852" width="21.7109375" style="31" customWidth="1"/>
    <col min="14853" max="14853" width="13.7109375" style="31" customWidth="1"/>
    <col min="14854" max="14854" width="14.85546875" style="31" customWidth="1"/>
    <col min="14855" max="14855" width="19.5703125" style="31" customWidth="1"/>
    <col min="14856" max="14856" width="13.7109375" style="31" customWidth="1"/>
    <col min="14857" max="14857" width="14.7109375" style="31" customWidth="1"/>
    <col min="14858" max="14859" width="14.140625" style="31" customWidth="1"/>
    <col min="14860" max="14860" width="15.140625" style="31" customWidth="1"/>
    <col min="14861" max="14861" width="21.5703125" style="31" customWidth="1"/>
    <col min="14862" max="15103" width="9.140625" style="31"/>
    <col min="15104" max="15104" width="6.5703125" style="31" customWidth="1"/>
    <col min="15105" max="15105" width="35.28515625" style="31" customWidth="1"/>
    <col min="15106" max="15106" width="14" style="31" customWidth="1"/>
    <col min="15107" max="15107" width="11.42578125" style="31" customWidth="1"/>
    <col min="15108" max="15108" width="21.7109375" style="31" customWidth="1"/>
    <col min="15109" max="15109" width="13.7109375" style="31" customWidth="1"/>
    <col min="15110" max="15110" width="14.85546875" style="31" customWidth="1"/>
    <col min="15111" max="15111" width="19.5703125" style="31" customWidth="1"/>
    <col min="15112" max="15112" width="13.7109375" style="31" customWidth="1"/>
    <col min="15113" max="15113" width="14.7109375" style="31" customWidth="1"/>
    <col min="15114" max="15115" width="14.140625" style="31" customWidth="1"/>
    <col min="15116" max="15116" width="15.140625" style="31" customWidth="1"/>
    <col min="15117" max="15117" width="21.5703125" style="31" customWidth="1"/>
    <col min="15118" max="15359" width="9.140625" style="31"/>
    <col min="15360" max="15360" width="6.5703125" style="31" customWidth="1"/>
    <col min="15361" max="15361" width="35.28515625" style="31" customWidth="1"/>
    <col min="15362" max="15362" width="14" style="31" customWidth="1"/>
    <col min="15363" max="15363" width="11.42578125" style="31" customWidth="1"/>
    <col min="15364" max="15364" width="21.7109375" style="31" customWidth="1"/>
    <col min="15365" max="15365" width="13.7109375" style="31" customWidth="1"/>
    <col min="15366" max="15366" width="14.85546875" style="31" customWidth="1"/>
    <col min="15367" max="15367" width="19.5703125" style="31" customWidth="1"/>
    <col min="15368" max="15368" width="13.7109375" style="31" customWidth="1"/>
    <col min="15369" max="15369" width="14.7109375" style="31" customWidth="1"/>
    <col min="15370" max="15371" width="14.140625" style="31" customWidth="1"/>
    <col min="15372" max="15372" width="15.140625" style="31" customWidth="1"/>
    <col min="15373" max="15373" width="21.5703125" style="31" customWidth="1"/>
    <col min="15374" max="15615" width="9.140625" style="31"/>
    <col min="15616" max="15616" width="6.5703125" style="31" customWidth="1"/>
    <col min="15617" max="15617" width="35.28515625" style="31" customWidth="1"/>
    <col min="15618" max="15618" width="14" style="31" customWidth="1"/>
    <col min="15619" max="15619" width="11.42578125" style="31" customWidth="1"/>
    <col min="15620" max="15620" width="21.7109375" style="31" customWidth="1"/>
    <col min="15621" max="15621" width="13.7109375" style="31" customWidth="1"/>
    <col min="15622" max="15622" width="14.85546875" style="31" customWidth="1"/>
    <col min="15623" max="15623" width="19.5703125" style="31" customWidth="1"/>
    <col min="15624" max="15624" width="13.7109375" style="31" customWidth="1"/>
    <col min="15625" max="15625" width="14.7109375" style="31" customWidth="1"/>
    <col min="15626" max="15627" width="14.140625" style="31" customWidth="1"/>
    <col min="15628" max="15628" width="15.140625" style="31" customWidth="1"/>
    <col min="15629" max="15629" width="21.5703125" style="31" customWidth="1"/>
    <col min="15630" max="15871" width="9.140625" style="31"/>
    <col min="15872" max="15872" width="6.5703125" style="31" customWidth="1"/>
    <col min="15873" max="15873" width="35.28515625" style="31" customWidth="1"/>
    <col min="15874" max="15874" width="14" style="31" customWidth="1"/>
    <col min="15875" max="15875" width="11.42578125" style="31" customWidth="1"/>
    <col min="15876" max="15876" width="21.7109375" style="31" customWidth="1"/>
    <col min="15877" max="15877" width="13.7109375" style="31" customWidth="1"/>
    <col min="15878" max="15878" width="14.85546875" style="31" customWidth="1"/>
    <col min="15879" max="15879" width="19.5703125" style="31" customWidth="1"/>
    <col min="15880" max="15880" width="13.7109375" style="31" customWidth="1"/>
    <col min="15881" max="15881" width="14.7109375" style="31" customWidth="1"/>
    <col min="15882" max="15883" width="14.140625" style="31" customWidth="1"/>
    <col min="15884" max="15884" width="15.140625" style="31" customWidth="1"/>
    <col min="15885" max="15885" width="21.5703125" style="31" customWidth="1"/>
    <col min="15886" max="16127" width="9.140625" style="31"/>
    <col min="16128" max="16128" width="6.5703125" style="31" customWidth="1"/>
    <col min="16129" max="16129" width="35.28515625" style="31" customWidth="1"/>
    <col min="16130" max="16130" width="14" style="31" customWidth="1"/>
    <col min="16131" max="16131" width="11.42578125" style="31" customWidth="1"/>
    <col min="16132" max="16132" width="21.7109375" style="31" customWidth="1"/>
    <col min="16133" max="16133" width="13.7109375" style="31" customWidth="1"/>
    <col min="16134" max="16134" width="14.85546875" style="31" customWidth="1"/>
    <col min="16135" max="16135" width="19.5703125" style="31" customWidth="1"/>
    <col min="16136" max="16136" width="13.7109375" style="31" customWidth="1"/>
    <col min="16137" max="16137" width="14.7109375" style="31" customWidth="1"/>
    <col min="16138" max="16139" width="14.140625" style="31" customWidth="1"/>
    <col min="16140" max="16140" width="15.140625" style="31" customWidth="1"/>
    <col min="16141" max="16141" width="21.5703125" style="31" customWidth="1"/>
    <col min="16142" max="16384" width="9.140625" style="31"/>
  </cols>
  <sheetData>
    <row r="1" spans="1:13" ht="36" customHeight="1" x14ac:dyDescent="0.25">
      <c r="A1" s="199" t="str">
        <f>'Подпрограмма 4'!A1:R1</f>
        <v>Отчет об использовании денежных средств в рамках исполнения мероприятий подпрограммы 4 "Энергоэффективность и развитие энергетики муниципального района "Заполярный район"
муниципальной программы "Комплексное развитие поселений муниципального района "Заполярный район" на 2017-2019 годы"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24" customHeight="1" x14ac:dyDescent="0.25">
      <c r="A2" s="199" t="str">
        <f>'Подпрограмма 1'!A2:O2</f>
        <v>по состоянию на 01 января 2018  года (с начала года нарастающим итогом)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</row>
    <row r="3" spans="1:13" ht="40.5" customHeight="1" x14ac:dyDescent="0.25">
      <c r="A3" s="193" t="s">
        <v>236</v>
      </c>
      <c r="B3" s="193" t="s">
        <v>237</v>
      </c>
      <c r="C3" s="200" t="s">
        <v>238</v>
      </c>
      <c r="D3" s="201"/>
      <c r="E3" s="193" t="s">
        <v>239</v>
      </c>
      <c r="F3" s="193" t="s">
        <v>240</v>
      </c>
      <c r="G3" s="193" t="s">
        <v>241</v>
      </c>
      <c r="H3" s="193" t="s">
        <v>242</v>
      </c>
      <c r="I3" s="194" t="s">
        <v>491</v>
      </c>
      <c r="J3" s="194" t="s">
        <v>244</v>
      </c>
      <c r="K3" s="193" t="s">
        <v>245</v>
      </c>
      <c r="L3" s="193"/>
      <c r="M3" s="193"/>
    </row>
    <row r="4" spans="1:13" ht="15" customHeight="1" x14ac:dyDescent="0.25">
      <c r="A4" s="193"/>
      <c r="B4" s="193"/>
      <c r="C4" s="194" t="s">
        <v>246</v>
      </c>
      <c r="D4" s="194" t="s">
        <v>247</v>
      </c>
      <c r="E4" s="193"/>
      <c r="F4" s="193"/>
      <c r="G4" s="193"/>
      <c r="H4" s="193"/>
      <c r="I4" s="202"/>
      <c r="J4" s="202"/>
      <c r="K4" s="193" t="s">
        <v>248</v>
      </c>
      <c r="L4" s="194" t="s">
        <v>249</v>
      </c>
      <c r="M4" s="193" t="s">
        <v>250</v>
      </c>
    </row>
    <row r="5" spans="1:13" ht="31.5" customHeight="1" x14ac:dyDescent="0.25">
      <c r="A5" s="193"/>
      <c r="B5" s="193"/>
      <c r="C5" s="195"/>
      <c r="D5" s="195"/>
      <c r="E5" s="193"/>
      <c r="F5" s="193"/>
      <c r="G5" s="193"/>
      <c r="H5" s="193"/>
      <c r="I5" s="195"/>
      <c r="J5" s="195"/>
      <c r="K5" s="193"/>
      <c r="L5" s="195"/>
      <c r="M5" s="193"/>
    </row>
    <row r="6" spans="1:13" x14ac:dyDescent="0.25">
      <c r="A6" s="58">
        <v>1</v>
      </c>
      <c r="B6" s="32">
        <v>2</v>
      </c>
      <c r="C6" s="32">
        <f>B6+1</f>
        <v>3</v>
      </c>
      <c r="D6" s="32">
        <f t="shared" ref="D6:K6" si="0">C6+1</f>
        <v>4</v>
      </c>
      <c r="E6" s="32">
        <f t="shared" si="0"/>
        <v>5</v>
      </c>
      <c r="F6" s="32">
        <f t="shared" si="0"/>
        <v>6</v>
      </c>
      <c r="G6" s="32">
        <f t="shared" si="0"/>
        <v>7</v>
      </c>
      <c r="H6" s="32">
        <f t="shared" si="0"/>
        <v>8</v>
      </c>
      <c r="I6" s="32">
        <f t="shared" si="0"/>
        <v>9</v>
      </c>
      <c r="J6" s="32">
        <f t="shared" si="0"/>
        <v>10</v>
      </c>
      <c r="K6" s="32">
        <f t="shared" si="0"/>
        <v>11</v>
      </c>
      <c r="L6" s="32">
        <v>12</v>
      </c>
      <c r="M6" s="32">
        <v>13</v>
      </c>
    </row>
    <row r="7" spans="1:13" s="40" customFormat="1" ht="47.25" x14ac:dyDescent="0.25">
      <c r="A7" s="52" t="str">
        <f>'Подпрограмма 4'!A7</f>
        <v>1.1</v>
      </c>
      <c r="B7" s="124" t="s">
        <v>110</v>
      </c>
      <c r="C7" s="53" t="s">
        <v>353</v>
      </c>
      <c r="D7" s="53" t="s">
        <v>354</v>
      </c>
      <c r="E7" s="59" t="s">
        <v>264</v>
      </c>
      <c r="F7" s="36" t="s">
        <v>262</v>
      </c>
      <c r="G7" s="36" t="s">
        <v>263</v>
      </c>
      <c r="H7" s="110">
        <v>43465</v>
      </c>
      <c r="I7" s="38">
        <v>147704.94</v>
      </c>
      <c r="J7" s="38"/>
      <c r="K7" s="39">
        <f>19998.5+M7</f>
        <v>43466.976750000002</v>
      </c>
      <c r="L7" s="39"/>
      <c r="M7" s="65">
        <f>'Подпрограмма 4'!I7+'Подпрограмма 4'!I8</f>
        <v>23468.476749999998</v>
      </c>
    </row>
    <row r="8" spans="1:13" ht="47.25" x14ac:dyDescent="0.25">
      <c r="A8" s="52" t="str">
        <f>'Подпрограмма 4'!A9</f>
        <v>1.2</v>
      </c>
      <c r="B8" s="52" t="str">
        <f>'Подпрограмма 4'!B9</f>
        <v>Разработка проектной документации на реконструкцию тепловых сетей в п. Хорей-Вер</v>
      </c>
      <c r="C8" s="42">
        <v>42604</v>
      </c>
      <c r="D8" s="42">
        <v>42642</v>
      </c>
      <c r="E8" s="66" t="s">
        <v>312</v>
      </c>
      <c r="F8" s="36" t="s">
        <v>313</v>
      </c>
      <c r="G8" s="36" t="s">
        <v>263</v>
      </c>
      <c r="H8" s="110">
        <v>42855</v>
      </c>
      <c r="I8" s="57" t="s">
        <v>492</v>
      </c>
      <c r="J8" s="38"/>
      <c r="K8" s="39">
        <f>M8</f>
        <v>1374.3746699999999</v>
      </c>
      <c r="L8" s="39"/>
      <c r="M8" s="65">
        <f>'Подпрограмма 4'!I9</f>
        <v>1374.3746699999999</v>
      </c>
    </row>
    <row r="9" spans="1:13" ht="65.25" customHeight="1" x14ac:dyDescent="0.25">
      <c r="A9" s="52" t="str">
        <f>'Подпрограмма 4'!A10</f>
        <v>1.3</v>
      </c>
      <c r="B9" s="52" t="str">
        <f>'Подпрограмма 4'!B10</f>
        <v>Разработка проектной документации на строительство тепловых сетей в п. Хорей-Вер</v>
      </c>
      <c r="C9" s="42">
        <v>42607</v>
      </c>
      <c r="D9" s="42">
        <v>42642</v>
      </c>
      <c r="E9" s="36" t="s">
        <v>315</v>
      </c>
      <c r="F9" s="36" t="s">
        <v>314</v>
      </c>
      <c r="G9" s="36" t="s">
        <v>263</v>
      </c>
      <c r="H9" s="110">
        <v>42855</v>
      </c>
      <c r="I9" s="54">
        <v>1447.94</v>
      </c>
      <c r="J9" s="38"/>
      <c r="K9" s="39">
        <f t="shared" ref="K9:K25" si="1">M9</f>
        <v>1447.94345</v>
      </c>
      <c r="L9" s="39"/>
      <c r="M9" s="65">
        <f>'Подпрограмма 4'!I10</f>
        <v>1447.94345</v>
      </c>
    </row>
    <row r="10" spans="1:13" ht="87" customHeight="1" x14ac:dyDescent="0.25">
      <c r="A10" s="52" t="str">
        <f>'Подпрограмма 4'!A11</f>
        <v>1.4</v>
      </c>
      <c r="B10" s="52" t="str">
        <f>'Подпрограмма 4'!B11</f>
        <v>Проведение обследования с корректировкой проектной документации и завершение строительства  ДЭС с гаражом в п. Хорей-Вер с реконструкцией существующих несущих конструкций</v>
      </c>
      <c r="C10" s="42"/>
      <c r="D10" s="42"/>
      <c r="E10" s="36" t="s">
        <v>474</v>
      </c>
      <c r="F10" s="36" t="s">
        <v>475</v>
      </c>
      <c r="G10" s="36" t="s">
        <v>424</v>
      </c>
      <c r="H10" s="110">
        <v>43008</v>
      </c>
      <c r="I10" s="54">
        <v>1469.38</v>
      </c>
      <c r="J10" s="38"/>
      <c r="K10" s="39" t="str">
        <f t="shared" ref="K10" si="2">M10</f>
        <v>-</v>
      </c>
      <c r="L10" s="39"/>
      <c r="M10" s="65" t="str">
        <f>'Подпрограмма 4'!I11</f>
        <v>-</v>
      </c>
    </row>
    <row r="11" spans="1:13" ht="53.25" customHeight="1" x14ac:dyDescent="0.25">
      <c r="A11" s="52" t="str">
        <f>'Подпрограмма 4'!A12</f>
        <v>1.5</v>
      </c>
      <c r="B11" s="52" t="str">
        <f>'Подпрограмма 4'!B12</f>
        <v>Строительство объекта "Тепловые сети в с. Нижняя Пеша Ненецкого автономного округа"</v>
      </c>
      <c r="C11" s="42">
        <v>42489</v>
      </c>
      <c r="D11" s="42">
        <v>42515</v>
      </c>
      <c r="E11" s="55" t="s">
        <v>355</v>
      </c>
      <c r="F11" s="36" t="s">
        <v>270</v>
      </c>
      <c r="G11" s="59" t="s">
        <v>3</v>
      </c>
      <c r="H11" s="110">
        <v>42724</v>
      </c>
      <c r="I11" s="54">
        <v>23198.77</v>
      </c>
      <c r="J11" s="38"/>
      <c r="K11" s="65">
        <f>15410+M11</f>
        <v>17732.008719999998</v>
      </c>
      <c r="L11" s="39"/>
      <c r="M11" s="65">
        <f>'Подпрограмма 4'!I12</f>
        <v>2322.0087199999998</v>
      </c>
    </row>
    <row r="12" spans="1:13" ht="31.5" customHeight="1" x14ac:dyDescent="0.25">
      <c r="A12" s="52" t="str">
        <f>'Подпрограмма 4'!A13</f>
        <v>1.6</v>
      </c>
      <c r="B12" s="52" t="str">
        <f>'Подпрограмма 4'!B13</f>
        <v>Капитальный ремонт ЛЭП от опоры № 1 до опоры № 36 в д. Волоковая</v>
      </c>
      <c r="C12" s="210" t="s">
        <v>61</v>
      </c>
      <c r="D12" s="210"/>
      <c r="E12" s="210"/>
      <c r="F12" s="210"/>
      <c r="G12" s="210"/>
      <c r="H12" s="210"/>
      <c r="I12" s="172">
        <v>2133.1</v>
      </c>
      <c r="J12" s="60"/>
      <c r="K12" s="39">
        <f t="shared" si="1"/>
        <v>2133.05755</v>
      </c>
      <c r="L12" s="39"/>
      <c r="M12" s="65">
        <f>'Подпрограмма 4'!I13</f>
        <v>2133.05755</v>
      </c>
    </row>
    <row r="13" spans="1:13" ht="31.5" customHeight="1" x14ac:dyDescent="0.25">
      <c r="A13" s="52" t="str">
        <f>'Подпрограмма 4'!A14</f>
        <v>1.7</v>
      </c>
      <c r="B13" s="52" t="str">
        <f>'Подпрограмма 4'!B14</f>
        <v>Капитальный ремонт ЛЭП от опоры № 36 до опоры № 72 в д. Волоковая</v>
      </c>
      <c r="C13" s="210" t="s">
        <v>61</v>
      </c>
      <c r="D13" s="210"/>
      <c r="E13" s="210"/>
      <c r="F13" s="210"/>
      <c r="G13" s="210"/>
      <c r="H13" s="210"/>
      <c r="I13" s="172">
        <v>1744.8</v>
      </c>
      <c r="J13" s="60"/>
      <c r="K13" s="60"/>
      <c r="L13" s="60"/>
      <c r="M13" s="65">
        <f>'Подпрограмма 4'!I14</f>
        <v>1744.8284000000001</v>
      </c>
    </row>
    <row r="14" spans="1:13" ht="31.5" customHeight="1" x14ac:dyDescent="0.25">
      <c r="A14" s="52" t="str">
        <f>'Подпрограмма 4'!A15</f>
        <v>1.8</v>
      </c>
      <c r="B14" s="52" t="str">
        <f>'Подпрограмма 4'!B15</f>
        <v>Капитальный ремонт ЛЭП от опоры № 72 до опоры № 106 в д. Волоковая</v>
      </c>
      <c r="C14" s="210" t="s">
        <v>61</v>
      </c>
      <c r="D14" s="210"/>
      <c r="E14" s="210"/>
      <c r="F14" s="210"/>
      <c r="G14" s="210"/>
      <c r="H14" s="210"/>
      <c r="I14" s="172">
        <v>1651.68</v>
      </c>
      <c r="J14" s="60"/>
      <c r="K14" s="39">
        <f t="shared" si="1"/>
        <v>1651.6845499999999</v>
      </c>
      <c r="L14" s="39"/>
      <c r="M14" s="65">
        <f>'Подпрограмма 4'!I15</f>
        <v>1651.6845499999999</v>
      </c>
    </row>
    <row r="15" spans="1:13" ht="31.5" customHeight="1" x14ac:dyDescent="0.25">
      <c r="A15" s="52" t="str">
        <f>'Подпрограмма 4'!A16</f>
        <v>1.9</v>
      </c>
      <c r="B15" s="52" t="str">
        <f>'Подпрограмма 4'!B16</f>
        <v>Капитальный ремонт ЛЭП от опоры № 106 до опоры № 138 в д. Волоковая</v>
      </c>
      <c r="C15" s="210" t="s">
        <v>61</v>
      </c>
      <c r="D15" s="210"/>
      <c r="E15" s="210"/>
      <c r="F15" s="210"/>
      <c r="G15" s="210"/>
      <c r="H15" s="210"/>
      <c r="I15" s="172">
        <v>1323.6659999999999</v>
      </c>
      <c r="J15" s="60"/>
      <c r="K15" s="39">
        <f t="shared" si="1"/>
        <v>1323.6659999999999</v>
      </c>
      <c r="L15" s="39"/>
      <c r="M15" s="65">
        <f>'Подпрограмма 4'!I16</f>
        <v>1323.6659999999999</v>
      </c>
    </row>
    <row r="16" spans="1:13" ht="31.5" customHeight="1" x14ac:dyDescent="0.25">
      <c r="A16" s="52" t="str">
        <f>'Подпрограмма 4'!A17</f>
        <v>1.10</v>
      </c>
      <c r="B16" s="52" t="str">
        <f>'Подпрограмма 4'!B17</f>
        <v>Капитальный ремонт КТП для ЛЭП в д. Волоковая</v>
      </c>
      <c r="C16" s="210" t="s">
        <v>61</v>
      </c>
      <c r="D16" s="210"/>
      <c r="E16" s="210"/>
      <c r="F16" s="210"/>
      <c r="G16" s="210"/>
      <c r="H16" s="210"/>
      <c r="I16" s="172">
        <v>641.9</v>
      </c>
      <c r="J16" s="60"/>
      <c r="K16" s="39">
        <f t="shared" si="1"/>
        <v>641.90332999999998</v>
      </c>
      <c r="L16" s="39"/>
      <c r="M16" s="65">
        <f>'Подпрограмма 4'!I17</f>
        <v>641.90332999999998</v>
      </c>
    </row>
    <row r="17" spans="1:13" ht="62.25" customHeight="1" x14ac:dyDescent="0.25">
      <c r="A17" s="52" t="str">
        <f>'Подпрограмма 4'!A18</f>
        <v>1.11</v>
      </c>
      <c r="B17" s="52" t="str">
        <f>'Подпрограмма 4'!B18</f>
        <v>Замена фонарей уличного освещения в п. Харута МО "Хоседа-Хардский сельсовет" НАО</v>
      </c>
      <c r="C17" s="110"/>
      <c r="D17" s="110"/>
      <c r="E17" s="110" t="s">
        <v>476</v>
      </c>
      <c r="F17" s="110" t="s">
        <v>477</v>
      </c>
      <c r="G17" s="110" t="s">
        <v>310</v>
      </c>
      <c r="H17" s="110">
        <v>43084</v>
      </c>
      <c r="I17" s="54">
        <v>1461.6</v>
      </c>
      <c r="J17" s="60"/>
      <c r="K17" s="39">
        <f t="shared" ref="K17:K18" si="3">M17</f>
        <v>1461.6</v>
      </c>
      <c r="L17" s="39"/>
      <c r="M17" s="65">
        <f>'Подпрограмма 4'!I18</f>
        <v>1461.6</v>
      </c>
    </row>
    <row r="18" spans="1:13" ht="31.5" customHeight="1" x14ac:dyDescent="0.25">
      <c r="A18" s="52" t="str">
        <f>'Подпрограмма 4'!A19</f>
        <v>1.12</v>
      </c>
      <c r="B18" s="52" t="str">
        <f>'Подпрограмма 4'!B19</f>
        <v>Доставка и монтаж резервного источника электроснабжения в д. Тошвиска МО "Великовисочный сельсовет" НАО</v>
      </c>
      <c r="C18" s="155"/>
      <c r="D18" s="155"/>
      <c r="E18" s="216" t="s">
        <v>61</v>
      </c>
      <c r="F18" s="217"/>
      <c r="G18" s="217"/>
      <c r="H18" s="218"/>
      <c r="I18" s="54">
        <v>264.7</v>
      </c>
      <c r="J18" s="60"/>
      <c r="K18" s="39">
        <f t="shared" si="3"/>
        <v>264.7</v>
      </c>
      <c r="L18" s="39"/>
      <c r="M18" s="65">
        <f>'Подпрограмма 4'!I19</f>
        <v>264.7</v>
      </c>
    </row>
    <row r="19" spans="1:13" ht="47.25" x14ac:dyDescent="0.25">
      <c r="A19" s="52" t="s">
        <v>317</v>
      </c>
      <c r="B19" s="126" t="str">
        <f>'Подпрограмма 4'!B21</f>
        <v>Замена котла в центральной котельной п. Амдерма</v>
      </c>
      <c r="C19" s="42"/>
      <c r="D19" s="42"/>
      <c r="E19" s="36" t="s">
        <v>425</v>
      </c>
      <c r="F19" s="36" t="s">
        <v>426</v>
      </c>
      <c r="G19" s="36" t="s">
        <v>427</v>
      </c>
      <c r="H19" s="110">
        <v>43039</v>
      </c>
      <c r="I19" s="54">
        <v>2028.58</v>
      </c>
      <c r="J19" s="38"/>
      <c r="K19" s="39">
        <f t="shared" si="1"/>
        <v>2244.6999999999998</v>
      </c>
      <c r="L19" s="39"/>
      <c r="M19" s="65">
        <f>'Подпрограмма 4'!I21</f>
        <v>2244.6999999999998</v>
      </c>
    </row>
    <row r="20" spans="1:13" ht="63" x14ac:dyDescent="0.25">
      <c r="A20" s="52" t="s">
        <v>318</v>
      </c>
      <c r="B20" s="52" t="str">
        <f>'Подпрограмма 4'!B22</f>
        <v>Приобретение аккумуляторов для обеспечения бесперебойного электроснабжения д. Мгла, д. Волонга, д. Белушье, п. Варнек, д. Устье</v>
      </c>
      <c r="C20" s="210" t="s">
        <v>61</v>
      </c>
      <c r="D20" s="210"/>
      <c r="E20" s="210"/>
      <c r="F20" s="210"/>
      <c r="G20" s="210"/>
      <c r="H20" s="210"/>
      <c r="I20" s="173">
        <v>6140.77</v>
      </c>
      <c r="J20" s="60"/>
      <c r="K20" s="39">
        <f t="shared" si="1"/>
        <v>6140.7650699999995</v>
      </c>
      <c r="L20" s="39"/>
      <c r="M20" s="65">
        <f>'Подпрограмма 4'!I22</f>
        <v>6140.7650699999995</v>
      </c>
    </row>
    <row r="21" spans="1:13" ht="31.5" x14ac:dyDescent="0.25">
      <c r="A21" s="52" t="s">
        <v>319</v>
      </c>
      <c r="B21" s="52" t="str">
        <f>'Подпрограмма 4'!B23</f>
        <v>Поставка котла отопительного в котельную "Орбита" в с. Тельвиска</v>
      </c>
      <c r="C21" s="210" t="s">
        <v>61</v>
      </c>
      <c r="D21" s="210"/>
      <c r="E21" s="210"/>
      <c r="F21" s="210"/>
      <c r="G21" s="210"/>
      <c r="H21" s="210"/>
      <c r="I21" s="173">
        <v>1496.93</v>
      </c>
      <c r="J21" s="60"/>
      <c r="K21" s="39">
        <f t="shared" si="1"/>
        <v>1496.93469</v>
      </c>
      <c r="L21" s="39"/>
      <c r="M21" s="65">
        <f>'Подпрограмма 4'!I23</f>
        <v>1496.93469</v>
      </c>
    </row>
    <row r="22" spans="1:13" ht="47.25" x14ac:dyDescent="0.25">
      <c r="A22" s="52" t="s">
        <v>369</v>
      </c>
      <c r="B22" s="52" t="str">
        <f>'Подпрограмма 4'!B24</f>
        <v>Поставка инверторов для источников бесперебойного питания д. Мгла, д. Волонга, д. Белушье, п. Варнек, д. Устье</v>
      </c>
      <c r="C22" s="210" t="s">
        <v>61</v>
      </c>
      <c r="D22" s="210"/>
      <c r="E22" s="210"/>
      <c r="F22" s="210"/>
      <c r="G22" s="210"/>
      <c r="H22" s="210"/>
      <c r="I22" s="173">
        <v>1960.8</v>
      </c>
      <c r="J22" s="60"/>
      <c r="K22" s="39">
        <f t="shared" si="1"/>
        <v>1960.8</v>
      </c>
      <c r="L22" s="39"/>
      <c r="M22" s="65">
        <f>'Подпрограмма 4'!I24</f>
        <v>1960.8</v>
      </c>
    </row>
    <row r="23" spans="1:13" ht="78.75" x14ac:dyDescent="0.25">
      <c r="A23" s="52" t="s">
        <v>370</v>
      </c>
      <c r="B23" s="52" t="str">
        <f>'Подпрограмма 4'!B25</f>
        <v>Приобретение жидкотопливных котлов (58 шт.) для обеспечения теплоснабжением социальных объектов в д. Каменка, п. Хонгурей, п. Шойна, п. Индига, п. Выучейский, п. Верхняя Пеша</v>
      </c>
      <c r="C23" s="210" t="s">
        <v>61</v>
      </c>
      <c r="D23" s="210"/>
      <c r="E23" s="210"/>
      <c r="F23" s="210"/>
      <c r="G23" s="210"/>
      <c r="H23" s="210"/>
      <c r="I23" s="174">
        <v>1860.23</v>
      </c>
      <c r="J23" s="60"/>
      <c r="K23" s="39">
        <f t="shared" si="1"/>
        <v>1860.2313499999998</v>
      </c>
      <c r="L23" s="39"/>
      <c r="M23" s="65">
        <f>'Подпрограмма 4'!I25</f>
        <v>1860.2313499999998</v>
      </c>
    </row>
    <row r="24" spans="1:13" ht="47.25" x14ac:dyDescent="0.25">
      <c r="A24" s="52" t="s">
        <v>371</v>
      </c>
      <c r="B24" s="52" t="str">
        <f>'Подпрограмма 4'!B26</f>
        <v>Поставка емкостей (20 шт.) для хранения дизельного топлива  в с. Ома МО "Омский сельсовет" НАО</v>
      </c>
      <c r="C24" s="210" t="s">
        <v>61</v>
      </c>
      <c r="D24" s="210"/>
      <c r="E24" s="210"/>
      <c r="F24" s="210"/>
      <c r="G24" s="210"/>
      <c r="H24" s="210"/>
      <c r="I24" s="174">
        <v>19792.37</v>
      </c>
      <c r="J24" s="60"/>
      <c r="K24" s="39">
        <f t="shared" si="1"/>
        <v>19792.372909999998</v>
      </c>
      <c r="L24" s="39"/>
      <c r="M24" s="65">
        <f>'Подпрограмма 4'!I26</f>
        <v>19792.372909999998</v>
      </c>
    </row>
    <row r="25" spans="1:13" ht="63" x14ac:dyDescent="0.25">
      <c r="A25" s="52" t="s">
        <v>372</v>
      </c>
      <c r="B25" s="52" t="str">
        <f>'Подпрограмма 4'!B27</f>
        <v>Выполнение работ по гидравлической промывке, испытаний на плотность и прочность системы отопления потребителя тепловой энергии</v>
      </c>
      <c r="C25" s="210" t="s">
        <v>61</v>
      </c>
      <c r="D25" s="210"/>
      <c r="E25" s="210"/>
      <c r="F25" s="210"/>
      <c r="G25" s="210"/>
      <c r="H25" s="210"/>
      <c r="I25" s="54">
        <v>551</v>
      </c>
      <c r="J25" s="38"/>
      <c r="K25" s="39">
        <f t="shared" si="1"/>
        <v>551.01907999999992</v>
      </c>
      <c r="L25" s="39"/>
      <c r="M25" s="65">
        <f>'Подпрограмма 4'!I27</f>
        <v>551.01907999999992</v>
      </c>
    </row>
    <row r="26" spans="1:13" ht="15" customHeight="1" x14ac:dyDescent="0.25">
      <c r="A26" s="196" t="s">
        <v>259</v>
      </c>
      <c r="B26" s="197"/>
      <c r="C26" s="197"/>
      <c r="D26" s="197"/>
      <c r="E26" s="197"/>
      <c r="F26" s="197"/>
      <c r="G26" s="197"/>
      <c r="H26" s="197"/>
      <c r="I26" s="198"/>
      <c r="J26" s="44">
        <f>SUM(J7:J25)</f>
        <v>0</v>
      </c>
      <c r="K26" s="44">
        <f>SUM(K7:K25)</f>
        <v>105544.73811999999</v>
      </c>
      <c r="L26" s="44">
        <f>SUM(L7:L25)</f>
        <v>0</v>
      </c>
      <c r="M26" s="44">
        <f>SUM(M7:M25)</f>
        <v>71881.066519999993</v>
      </c>
    </row>
  </sheetData>
  <mergeCells count="30">
    <mergeCell ref="M4:M5"/>
    <mergeCell ref="A26:I26"/>
    <mergeCell ref="C20:H20"/>
    <mergeCell ref="C25:H25"/>
    <mergeCell ref="C13:H13"/>
    <mergeCell ref="C12:H12"/>
    <mergeCell ref="C14:H14"/>
    <mergeCell ref="C15:H15"/>
    <mergeCell ref="C16:H16"/>
    <mergeCell ref="C21:H21"/>
    <mergeCell ref="C22:H22"/>
    <mergeCell ref="C23:H23"/>
    <mergeCell ref="C24:H24"/>
    <mergeCell ref="E18:H18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  <mergeCell ref="D4:D5"/>
    <mergeCell ref="K4:K5"/>
    <mergeCell ref="L4:L5"/>
  </mergeCells>
  <pageMargins left="0.15748031496062992" right="0.15748031496062992" top="0.23622047244094491" bottom="0.31496062992125984" header="0.94488188976377963" footer="0.31496062992125984"/>
  <pageSetup paperSize="9" scale="71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P105"/>
  <sheetViews>
    <sheetView topLeftCell="A73" zoomScale="90" zoomScaleNormal="90" zoomScaleSheetLayoutView="85" workbookViewId="0">
      <selection activeCell="B80" sqref="B80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6.85546875" style="1" customWidth="1"/>
    <col min="6" max="6" width="15.28515625" style="1" hidden="1" customWidth="1"/>
    <col min="7" max="7" width="15.28515625" style="1" bestFit="1" customWidth="1"/>
    <col min="8" max="8" width="16.85546875" style="1" customWidth="1"/>
    <col min="9" max="9" width="14.85546875" style="132" customWidth="1"/>
    <col min="10" max="10" width="15.28515625" style="132" bestFit="1" customWidth="1"/>
    <col min="11" max="11" width="16.42578125" style="132" customWidth="1"/>
    <col min="12" max="12" width="14" style="132" customWidth="1"/>
    <col min="13" max="13" width="15.28515625" style="132" bestFit="1" customWidth="1"/>
    <col min="14" max="14" width="14.85546875" style="132" customWidth="1"/>
    <col min="15" max="15" width="24.42578125" style="132" customWidth="1"/>
    <col min="16" max="16" width="26.140625" style="132" customWidth="1"/>
    <col min="17" max="16384" width="9.140625" style="1"/>
  </cols>
  <sheetData>
    <row r="1" spans="1:16" ht="51" customHeight="1" x14ac:dyDescent="0.25">
      <c r="A1" s="206" t="s">
        <v>126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</row>
    <row r="2" spans="1:16" ht="18.75" customHeight="1" x14ac:dyDescent="0.25">
      <c r="A2" s="207" t="s">
        <v>449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8"/>
    </row>
    <row r="3" spans="1:16" s="2" customFormat="1" ht="26.25" customHeight="1" x14ac:dyDescent="0.25">
      <c r="A3" s="178" t="s">
        <v>22</v>
      </c>
      <c r="B3" s="178" t="s">
        <v>20</v>
      </c>
      <c r="C3" s="178" t="s">
        <v>7</v>
      </c>
      <c r="D3" s="178" t="s">
        <v>21</v>
      </c>
      <c r="E3" s="190" t="s">
        <v>51</v>
      </c>
      <c r="F3" s="191"/>
      <c r="G3" s="191"/>
      <c r="H3" s="192"/>
      <c r="I3" s="203" t="s">
        <v>8</v>
      </c>
      <c r="J3" s="203"/>
      <c r="K3" s="203"/>
      <c r="L3" s="203" t="s">
        <v>9</v>
      </c>
      <c r="M3" s="203"/>
      <c r="N3" s="203"/>
      <c r="O3" s="214" t="s">
        <v>459</v>
      </c>
      <c r="P3" s="214" t="s">
        <v>460</v>
      </c>
    </row>
    <row r="4" spans="1:16" s="2" customFormat="1" ht="87" customHeight="1" x14ac:dyDescent="0.25">
      <c r="A4" s="178"/>
      <c r="B4" s="178"/>
      <c r="C4" s="178"/>
      <c r="D4" s="178"/>
      <c r="E4" s="156" t="s">
        <v>1</v>
      </c>
      <c r="F4" s="156" t="s">
        <v>18</v>
      </c>
      <c r="G4" s="156" t="s">
        <v>10</v>
      </c>
      <c r="H4" s="156" t="s">
        <v>11</v>
      </c>
      <c r="I4" s="157" t="s">
        <v>1</v>
      </c>
      <c r="J4" s="157" t="s">
        <v>10</v>
      </c>
      <c r="K4" s="157" t="s">
        <v>11</v>
      </c>
      <c r="L4" s="157" t="s">
        <v>1</v>
      </c>
      <c r="M4" s="157" t="s">
        <v>10</v>
      </c>
      <c r="N4" s="157" t="s">
        <v>11</v>
      </c>
      <c r="O4" s="214"/>
      <c r="P4" s="214"/>
    </row>
    <row r="5" spans="1:16" s="2" customFormat="1" ht="22.5" customHeight="1" x14ac:dyDescent="0.25">
      <c r="A5" s="156">
        <v>1</v>
      </c>
      <c r="B5" s="156">
        <v>2</v>
      </c>
      <c r="C5" s="156">
        <v>3</v>
      </c>
      <c r="D5" s="156">
        <v>4</v>
      </c>
      <c r="E5" s="156">
        <v>5</v>
      </c>
      <c r="F5" s="156"/>
      <c r="G5" s="156">
        <v>6</v>
      </c>
      <c r="H5" s="156">
        <v>7</v>
      </c>
      <c r="I5" s="157">
        <v>8</v>
      </c>
      <c r="J5" s="157">
        <v>9</v>
      </c>
      <c r="K5" s="157">
        <v>10</v>
      </c>
      <c r="L5" s="157">
        <v>11</v>
      </c>
      <c r="M5" s="157">
        <v>12</v>
      </c>
      <c r="N5" s="157">
        <v>13</v>
      </c>
      <c r="O5" s="157">
        <v>14</v>
      </c>
      <c r="P5" s="157">
        <v>15</v>
      </c>
    </row>
    <row r="6" spans="1:16" s="2" customFormat="1" ht="26.25" customHeight="1" x14ac:dyDescent="0.25">
      <c r="A6" s="157"/>
      <c r="B6" s="203" t="s">
        <v>127</v>
      </c>
      <c r="C6" s="203"/>
      <c r="D6" s="203"/>
      <c r="E6" s="112">
        <f t="shared" ref="E6:N6" si="0">SUM(E7:E11)</f>
        <v>171046.39608000003</v>
      </c>
      <c r="F6" s="112">
        <f t="shared" si="0"/>
        <v>0</v>
      </c>
      <c r="G6" s="112">
        <f t="shared" si="0"/>
        <v>116611.6</v>
      </c>
      <c r="H6" s="112">
        <f t="shared" si="0"/>
        <v>54434.79608</v>
      </c>
      <c r="I6" s="112">
        <f t="shared" si="0"/>
        <v>153719.05457000001</v>
      </c>
      <c r="J6" s="112">
        <f t="shared" si="0"/>
        <v>115149.7</v>
      </c>
      <c r="K6" s="112">
        <f t="shared" si="0"/>
        <v>38569.354569999996</v>
      </c>
      <c r="L6" s="112">
        <f t="shared" si="0"/>
        <v>153719.05849</v>
      </c>
      <c r="M6" s="112">
        <f t="shared" si="0"/>
        <v>115149.7</v>
      </c>
      <c r="N6" s="112">
        <f t="shared" si="0"/>
        <v>38569.358489999999</v>
      </c>
      <c r="O6" s="80">
        <f t="shared" ref="O6:O14" si="1">I6/E6</f>
        <v>0.89869800295648516</v>
      </c>
      <c r="P6" s="80">
        <f t="shared" ref="P6:P14" si="2">L6/E6</f>
        <v>0.89869802587424363</v>
      </c>
    </row>
    <row r="7" spans="1:16" s="2" customFormat="1" ht="49.5" x14ac:dyDescent="0.25">
      <c r="A7" s="76" t="s">
        <v>12</v>
      </c>
      <c r="B7" s="24" t="s">
        <v>393</v>
      </c>
      <c r="C7" s="78" t="s">
        <v>39</v>
      </c>
      <c r="D7" s="12" t="s">
        <v>3</v>
      </c>
      <c r="E7" s="88">
        <f t="shared" ref="E7:E26" si="3">H7</f>
        <v>5250.2960800000001</v>
      </c>
      <c r="F7" s="88"/>
      <c r="G7" s="88" t="s">
        <v>19</v>
      </c>
      <c r="H7" s="88">
        <v>5250.2960800000001</v>
      </c>
      <c r="I7" s="88">
        <f t="shared" ref="I7:I9" si="4">K7</f>
        <v>5250.2960800000001</v>
      </c>
      <c r="J7" s="88" t="s">
        <v>19</v>
      </c>
      <c r="K7" s="88">
        <v>5250.2960800000001</v>
      </c>
      <c r="L7" s="88">
        <f t="shared" ref="L7:L9" si="5">N7</f>
        <v>5250.3</v>
      </c>
      <c r="M7" s="88" t="s">
        <v>19</v>
      </c>
      <c r="N7" s="88">
        <v>5250.3</v>
      </c>
      <c r="O7" s="79">
        <f t="shared" si="1"/>
        <v>1</v>
      </c>
      <c r="P7" s="79">
        <f t="shared" si="2"/>
        <v>1.00000074662456</v>
      </c>
    </row>
    <row r="8" spans="1:16" s="2" customFormat="1" ht="49.5" x14ac:dyDescent="0.25">
      <c r="A8" s="76" t="s">
        <v>13</v>
      </c>
      <c r="B8" s="152" t="s">
        <v>128</v>
      </c>
      <c r="C8" s="83" t="s">
        <v>39</v>
      </c>
      <c r="D8" s="12" t="s">
        <v>3</v>
      </c>
      <c r="E8" s="122">
        <f>H8+G8</f>
        <v>122583.1</v>
      </c>
      <c r="F8" s="122"/>
      <c r="G8" s="122">
        <v>102210.3</v>
      </c>
      <c r="H8" s="122">
        <v>20372.8</v>
      </c>
      <c r="I8" s="88">
        <f>K8+J8</f>
        <v>107230.00494</v>
      </c>
      <c r="J8" s="88">
        <v>102210.3</v>
      </c>
      <c r="K8" s="88">
        <f>3987.278+1032.42694</f>
        <v>5019.7049399999996</v>
      </c>
      <c r="L8" s="88">
        <f>N8+M8</f>
        <v>107230.00494</v>
      </c>
      <c r="M8" s="88">
        <f>J8</f>
        <v>102210.3</v>
      </c>
      <c r="N8" s="88">
        <f>K8</f>
        <v>5019.7049399999996</v>
      </c>
      <c r="O8" s="79">
        <f t="shared" si="1"/>
        <v>0.87475357484025118</v>
      </c>
      <c r="P8" s="79">
        <f t="shared" si="2"/>
        <v>0.87475357484025118</v>
      </c>
    </row>
    <row r="9" spans="1:16" s="2" customFormat="1" ht="49.5" x14ac:dyDescent="0.25">
      <c r="A9" s="76" t="s">
        <v>14</v>
      </c>
      <c r="B9" s="85" t="s">
        <v>129</v>
      </c>
      <c r="C9" s="78" t="s">
        <v>39</v>
      </c>
      <c r="D9" s="78" t="s">
        <v>39</v>
      </c>
      <c r="E9" s="88">
        <f t="shared" si="3"/>
        <v>28666.2</v>
      </c>
      <c r="F9" s="88"/>
      <c r="G9" s="88" t="s">
        <v>19</v>
      </c>
      <c r="H9" s="122">
        <v>28666.2</v>
      </c>
      <c r="I9" s="88">
        <f t="shared" si="4"/>
        <v>28168.651959999999</v>
      </c>
      <c r="J9" s="88" t="s">
        <v>19</v>
      </c>
      <c r="K9" s="88">
        <f>26054.04665+2114.60531</f>
        <v>28168.651959999999</v>
      </c>
      <c r="L9" s="88">
        <f t="shared" si="5"/>
        <v>28168.651959999999</v>
      </c>
      <c r="M9" s="88" t="s">
        <v>19</v>
      </c>
      <c r="N9" s="88">
        <f>K9</f>
        <v>28168.651959999999</v>
      </c>
      <c r="O9" s="79">
        <f t="shared" si="1"/>
        <v>0.98264339047379834</v>
      </c>
      <c r="P9" s="79">
        <f t="shared" si="2"/>
        <v>0.98264339047379834</v>
      </c>
    </row>
    <row r="10" spans="1:16" s="2" customFormat="1" ht="49.5" x14ac:dyDescent="0.25">
      <c r="A10" s="76" t="s">
        <v>15</v>
      </c>
      <c r="B10" s="85" t="s">
        <v>130</v>
      </c>
      <c r="C10" s="78" t="s">
        <v>39</v>
      </c>
      <c r="D10" s="78" t="s">
        <v>39</v>
      </c>
      <c r="E10" s="88">
        <f>H10+G10</f>
        <v>13070.201590000001</v>
      </c>
      <c r="F10" s="88"/>
      <c r="G10" s="88">
        <f>12939.45749+0.04251</f>
        <v>12939.5</v>
      </c>
      <c r="H10" s="122">
        <v>130.70159000000001</v>
      </c>
      <c r="I10" s="88">
        <f>K10+J10</f>
        <v>13070.10159</v>
      </c>
      <c r="J10" s="122">
        <v>12939.4</v>
      </c>
      <c r="K10" s="88">
        <v>130.70159000000001</v>
      </c>
      <c r="L10" s="88">
        <f>I10</f>
        <v>13070.10159</v>
      </c>
      <c r="M10" s="88">
        <f t="shared" ref="M10:N10" si="6">J10</f>
        <v>12939.4</v>
      </c>
      <c r="N10" s="88">
        <f t="shared" si="6"/>
        <v>130.70159000000001</v>
      </c>
      <c r="O10" s="79">
        <f t="shared" si="1"/>
        <v>0.99999234900859701</v>
      </c>
      <c r="P10" s="79">
        <f t="shared" si="2"/>
        <v>0.99999234900859701</v>
      </c>
    </row>
    <row r="11" spans="1:16" s="2" customFormat="1" ht="49.5" x14ac:dyDescent="0.25">
      <c r="A11" s="76" t="s">
        <v>16</v>
      </c>
      <c r="B11" s="95" t="s">
        <v>131</v>
      </c>
      <c r="C11" s="78" t="s">
        <v>39</v>
      </c>
      <c r="D11" s="78" t="s">
        <v>39</v>
      </c>
      <c r="E11" s="88">
        <f>H11+G11</f>
        <v>1476.5984100000001</v>
      </c>
      <c r="F11" s="88"/>
      <c r="G11" s="122">
        <v>1461.8</v>
      </c>
      <c r="H11" s="122">
        <v>14.798410000000001</v>
      </c>
      <c r="I11" s="88" t="s">
        <v>19</v>
      </c>
      <c r="J11" s="88" t="s">
        <v>19</v>
      </c>
      <c r="K11" s="88" t="s">
        <v>19</v>
      </c>
      <c r="L11" s="88" t="s">
        <v>19</v>
      </c>
      <c r="M11" s="88" t="s">
        <v>19</v>
      </c>
      <c r="N11" s="88" t="s">
        <v>19</v>
      </c>
      <c r="O11" s="79" t="s">
        <v>19</v>
      </c>
      <c r="P11" s="79" t="s">
        <v>19</v>
      </c>
    </row>
    <row r="12" spans="1:16" s="2" customFormat="1" ht="31.5" customHeight="1" x14ac:dyDescent="0.25">
      <c r="A12" s="81"/>
      <c r="B12" s="203" t="s">
        <v>132</v>
      </c>
      <c r="C12" s="203"/>
      <c r="D12" s="203"/>
      <c r="E12" s="112">
        <f>H12</f>
        <v>131847.9</v>
      </c>
      <c r="F12" s="112">
        <v>0</v>
      </c>
      <c r="G12" s="112">
        <f>G13+G15+G27</f>
        <v>0</v>
      </c>
      <c r="H12" s="112">
        <f>H13+H15+H27</f>
        <v>131847.9</v>
      </c>
      <c r="I12" s="112">
        <f>K12</f>
        <v>126496.16557000001</v>
      </c>
      <c r="J12" s="112">
        <f>J13+J15+J27</f>
        <v>0</v>
      </c>
      <c r="K12" s="112">
        <f>K13+K15+K27</f>
        <v>126496.16557000001</v>
      </c>
      <c r="L12" s="112">
        <f>N12</f>
        <v>126496.16557000001</v>
      </c>
      <c r="M12" s="112">
        <f>M13+M15+M27</f>
        <v>0</v>
      </c>
      <c r="N12" s="112">
        <f>N13+N15+N27</f>
        <v>126496.16557000001</v>
      </c>
      <c r="O12" s="80">
        <f t="shared" si="1"/>
        <v>0.95940978635230456</v>
      </c>
      <c r="P12" s="80">
        <f t="shared" si="2"/>
        <v>0.95940978635230456</v>
      </c>
    </row>
    <row r="13" spans="1:16" s="2" customFormat="1" ht="31.5" customHeight="1" x14ac:dyDescent="0.25">
      <c r="A13" s="76" t="s">
        <v>58</v>
      </c>
      <c r="B13" s="203" t="s">
        <v>133</v>
      </c>
      <c r="C13" s="203"/>
      <c r="D13" s="203"/>
      <c r="E13" s="112">
        <f t="shared" ref="E13" si="7">H13</f>
        <v>51113.7</v>
      </c>
      <c r="F13" s="112">
        <v>0</v>
      </c>
      <c r="G13" s="112">
        <v>0</v>
      </c>
      <c r="H13" s="112">
        <f>SUM(H14)</f>
        <v>51113.7</v>
      </c>
      <c r="I13" s="112">
        <f>K13</f>
        <v>50527.365570000002</v>
      </c>
      <c r="J13" s="112">
        <v>0</v>
      </c>
      <c r="K13" s="112">
        <f>SUM(K14)</f>
        <v>50527.365570000002</v>
      </c>
      <c r="L13" s="112">
        <f>N13</f>
        <v>50527.365570000002</v>
      </c>
      <c r="M13" s="112">
        <v>0</v>
      </c>
      <c r="N13" s="112">
        <f>SUM(N14)</f>
        <v>50527.365570000002</v>
      </c>
      <c r="O13" s="80">
        <f t="shared" si="1"/>
        <v>0.98852882045322499</v>
      </c>
      <c r="P13" s="80">
        <f t="shared" si="2"/>
        <v>0.98852882045322499</v>
      </c>
    </row>
    <row r="14" spans="1:16" s="2" customFormat="1" ht="82.5" x14ac:dyDescent="0.25">
      <c r="A14" s="76" t="s">
        <v>158</v>
      </c>
      <c r="B14" s="16" t="s">
        <v>134</v>
      </c>
      <c r="C14" s="25" t="s">
        <v>77</v>
      </c>
      <c r="D14" s="26" t="s">
        <v>135</v>
      </c>
      <c r="E14" s="88">
        <f>H14</f>
        <v>51113.7</v>
      </c>
      <c r="F14" s="88"/>
      <c r="G14" s="88" t="s">
        <v>19</v>
      </c>
      <c r="H14" s="88">
        <v>51113.7</v>
      </c>
      <c r="I14" s="88">
        <f>K14</f>
        <v>50527.365570000002</v>
      </c>
      <c r="J14" s="88" t="s">
        <v>19</v>
      </c>
      <c r="K14" s="88">
        <v>50527.365570000002</v>
      </c>
      <c r="L14" s="88">
        <f>N14</f>
        <v>50527.365570000002</v>
      </c>
      <c r="M14" s="88" t="s">
        <v>19</v>
      </c>
      <c r="N14" s="88">
        <f>K14</f>
        <v>50527.365570000002</v>
      </c>
      <c r="O14" s="79">
        <f t="shared" si="1"/>
        <v>0.98852882045322499</v>
      </c>
      <c r="P14" s="79">
        <f t="shared" si="2"/>
        <v>0.98852882045322499</v>
      </c>
    </row>
    <row r="15" spans="1:16" s="2" customFormat="1" ht="54.75" customHeight="1" x14ac:dyDescent="0.25">
      <c r="A15" s="76" t="s">
        <v>59</v>
      </c>
      <c r="B15" s="203" t="s">
        <v>136</v>
      </c>
      <c r="C15" s="203"/>
      <c r="D15" s="203"/>
      <c r="E15" s="112">
        <f t="shared" si="3"/>
        <v>61144.1</v>
      </c>
      <c r="F15" s="112">
        <v>0</v>
      </c>
      <c r="G15" s="112">
        <v>0</v>
      </c>
      <c r="H15" s="112">
        <f>SUM(H16:H26)</f>
        <v>61144.1</v>
      </c>
      <c r="I15" s="6">
        <f t="shared" ref="I15:N15" si="8">SUM(I16:I26)</f>
        <v>57478.700000000004</v>
      </c>
      <c r="J15" s="6">
        <f t="shared" si="8"/>
        <v>0</v>
      </c>
      <c r="K15" s="6">
        <f t="shared" si="8"/>
        <v>57478.700000000004</v>
      </c>
      <c r="L15" s="6">
        <f t="shared" si="8"/>
        <v>57478.700000000004</v>
      </c>
      <c r="M15" s="6">
        <f t="shared" si="8"/>
        <v>0</v>
      </c>
      <c r="N15" s="6">
        <f t="shared" si="8"/>
        <v>57478.700000000004</v>
      </c>
      <c r="O15" s="139">
        <f>I15/E15</f>
        <v>0.94005308770592755</v>
      </c>
      <c r="P15" s="139">
        <f>L15/E15</f>
        <v>0.94005308770592755</v>
      </c>
    </row>
    <row r="16" spans="1:16" s="2" customFormat="1" ht="31.5" customHeight="1" x14ac:dyDescent="0.25">
      <c r="A16" s="96" t="s">
        <v>159</v>
      </c>
      <c r="B16" s="97" t="s">
        <v>64</v>
      </c>
      <c r="C16" s="83" t="s">
        <v>77</v>
      </c>
      <c r="D16" s="78" t="s">
        <v>40</v>
      </c>
      <c r="E16" s="88">
        <f t="shared" si="3"/>
        <v>6137.9</v>
      </c>
      <c r="F16" s="88"/>
      <c r="G16" s="112" t="s">
        <v>19</v>
      </c>
      <c r="H16" s="88">
        <v>6137.9</v>
      </c>
      <c r="I16" s="3">
        <f t="shared" ref="I16:I26" si="9">K16</f>
        <v>6085.5</v>
      </c>
      <c r="J16" s="6" t="s">
        <v>19</v>
      </c>
      <c r="K16" s="3">
        <v>6085.5</v>
      </c>
      <c r="L16" s="3">
        <f t="shared" ref="L16:L26" si="10">N16</f>
        <v>6085.5</v>
      </c>
      <c r="M16" s="6" t="s">
        <v>19</v>
      </c>
      <c r="N16" s="3">
        <v>6085.5</v>
      </c>
      <c r="O16" s="79">
        <f>I16/E16</f>
        <v>0.99146287818309198</v>
      </c>
      <c r="P16" s="79">
        <f>L16/E16</f>
        <v>0.99146287818309198</v>
      </c>
    </row>
    <row r="17" spans="1:16" s="2" customFormat="1" ht="31.5" customHeight="1" x14ac:dyDescent="0.25">
      <c r="A17" s="96" t="s">
        <v>160</v>
      </c>
      <c r="B17" s="98" t="s">
        <v>137</v>
      </c>
      <c r="C17" s="83" t="s">
        <v>77</v>
      </c>
      <c r="D17" s="78" t="s">
        <v>40</v>
      </c>
      <c r="E17" s="88">
        <f t="shared" si="3"/>
        <v>7164.6</v>
      </c>
      <c r="F17" s="88"/>
      <c r="G17" s="112" t="s">
        <v>19</v>
      </c>
      <c r="H17" s="88">
        <v>7164.6</v>
      </c>
      <c r="I17" s="3">
        <f t="shared" si="9"/>
        <v>7164.6</v>
      </c>
      <c r="J17" s="6" t="s">
        <v>19</v>
      </c>
      <c r="K17" s="3">
        <v>7164.6</v>
      </c>
      <c r="L17" s="3">
        <f t="shared" si="10"/>
        <v>7164.6</v>
      </c>
      <c r="M17" s="6" t="s">
        <v>19</v>
      </c>
      <c r="N17" s="3">
        <v>7164.6</v>
      </c>
      <c r="O17" s="79">
        <f t="shared" ref="O17:O78" si="11">I17/E17</f>
        <v>1</v>
      </c>
      <c r="P17" s="79">
        <f t="shared" ref="P17:P78" si="12">L17/E17</f>
        <v>1</v>
      </c>
    </row>
    <row r="18" spans="1:16" s="2" customFormat="1" ht="31.5" customHeight="1" x14ac:dyDescent="0.25">
      <c r="A18" s="96" t="s">
        <v>161</v>
      </c>
      <c r="B18" s="97" t="s">
        <v>65</v>
      </c>
      <c r="C18" s="83" t="s">
        <v>77</v>
      </c>
      <c r="D18" s="78" t="s">
        <v>40</v>
      </c>
      <c r="E18" s="88">
        <f t="shared" si="3"/>
        <v>4720.8</v>
      </c>
      <c r="F18" s="88"/>
      <c r="G18" s="112" t="s">
        <v>19</v>
      </c>
      <c r="H18" s="88">
        <v>4720.8</v>
      </c>
      <c r="I18" s="3">
        <f t="shared" si="9"/>
        <v>4489.2</v>
      </c>
      <c r="J18" s="6" t="s">
        <v>19</v>
      </c>
      <c r="K18" s="3">
        <v>4489.2</v>
      </c>
      <c r="L18" s="3">
        <f t="shared" si="10"/>
        <v>4489.2</v>
      </c>
      <c r="M18" s="6" t="s">
        <v>19</v>
      </c>
      <c r="N18" s="3">
        <v>4489.2</v>
      </c>
      <c r="O18" s="79">
        <f t="shared" si="11"/>
        <v>0.95094051855617689</v>
      </c>
      <c r="P18" s="79">
        <f t="shared" si="12"/>
        <v>0.95094051855617689</v>
      </c>
    </row>
    <row r="19" spans="1:16" s="2" customFormat="1" ht="31.5" customHeight="1" x14ac:dyDescent="0.25">
      <c r="A19" s="96" t="s">
        <v>162</v>
      </c>
      <c r="B19" s="97" t="s">
        <v>67</v>
      </c>
      <c r="C19" s="83" t="s">
        <v>77</v>
      </c>
      <c r="D19" s="78" t="s">
        <v>40</v>
      </c>
      <c r="E19" s="88">
        <f t="shared" si="3"/>
        <v>5055.8999999999996</v>
      </c>
      <c r="F19" s="88"/>
      <c r="G19" s="112" t="s">
        <v>19</v>
      </c>
      <c r="H19" s="88">
        <v>5055.8999999999996</v>
      </c>
      <c r="I19" s="3">
        <f t="shared" si="9"/>
        <v>3857.5</v>
      </c>
      <c r="J19" s="6" t="s">
        <v>19</v>
      </c>
      <c r="K19" s="3">
        <v>3857.5</v>
      </c>
      <c r="L19" s="3">
        <f t="shared" si="10"/>
        <v>3857.5</v>
      </c>
      <c r="M19" s="6" t="s">
        <v>19</v>
      </c>
      <c r="N19" s="3">
        <v>3857.5</v>
      </c>
      <c r="O19" s="79">
        <f t="shared" si="11"/>
        <v>0.76296999545085942</v>
      </c>
      <c r="P19" s="79">
        <f t="shared" si="12"/>
        <v>0.76296999545085942</v>
      </c>
    </row>
    <row r="20" spans="1:16" s="2" customFormat="1" ht="31.5" customHeight="1" x14ac:dyDescent="0.25">
      <c r="A20" s="96" t="s">
        <v>163</v>
      </c>
      <c r="B20" s="97" t="s">
        <v>68</v>
      </c>
      <c r="C20" s="83" t="s">
        <v>77</v>
      </c>
      <c r="D20" s="78" t="s">
        <v>40</v>
      </c>
      <c r="E20" s="88">
        <f t="shared" si="3"/>
        <v>6096.5</v>
      </c>
      <c r="F20" s="88"/>
      <c r="G20" s="112" t="s">
        <v>19</v>
      </c>
      <c r="H20" s="88">
        <v>6096.5</v>
      </c>
      <c r="I20" s="3">
        <f t="shared" si="9"/>
        <v>5497.2</v>
      </c>
      <c r="J20" s="6" t="s">
        <v>19</v>
      </c>
      <c r="K20" s="3">
        <v>5497.2</v>
      </c>
      <c r="L20" s="3">
        <f t="shared" si="10"/>
        <v>5497.2</v>
      </c>
      <c r="M20" s="6" t="s">
        <v>19</v>
      </c>
      <c r="N20" s="3">
        <v>5497.2</v>
      </c>
      <c r="O20" s="79">
        <f t="shared" si="11"/>
        <v>0.90169769539899935</v>
      </c>
      <c r="P20" s="79">
        <f t="shared" si="12"/>
        <v>0.90169769539899935</v>
      </c>
    </row>
    <row r="21" spans="1:16" s="2" customFormat="1" ht="31.5" customHeight="1" x14ac:dyDescent="0.25">
      <c r="A21" s="96" t="s">
        <v>164</v>
      </c>
      <c r="B21" s="98" t="s">
        <v>81</v>
      </c>
      <c r="C21" s="83" t="s">
        <v>77</v>
      </c>
      <c r="D21" s="78" t="s">
        <v>40</v>
      </c>
      <c r="E21" s="88" t="str">
        <f t="shared" si="3"/>
        <v>-</v>
      </c>
      <c r="F21" s="88"/>
      <c r="G21" s="112" t="s">
        <v>19</v>
      </c>
      <c r="H21" s="88" t="s">
        <v>19</v>
      </c>
      <c r="I21" s="3" t="str">
        <f t="shared" si="9"/>
        <v>-</v>
      </c>
      <c r="J21" s="6" t="s">
        <v>19</v>
      </c>
      <c r="K21" s="3" t="s">
        <v>19</v>
      </c>
      <c r="L21" s="3" t="str">
        <f t="shared" si="10"/>
        <v>-</v>
      </c>
      <c r="M21" s="6" t="s">
        <v>19</v>
      </c>
      <c r="N21" s="3" t="s">
        <v>19</v>
      </c>
      <c r="O21" s="79">
        <v>0</v>
      </c>
      <c r="P21" s="79">
        <v>0</v>
      </c>
    </row>
    <row r="22" spans="1:16" s="2" customFormat="1" ht="31.5" customHeight="1" x14ac:dyDescent="0.25">
      <c r="A22" s="96" t="s">
        <v>165</v>
      </c>
      <c r="B22" s="97" t="s">
        <v>82</v>
      </c>
      <c r="C22" s="83" t="s">
        <v>77</v>
      </c>
      <c r="D22" s="78" t="s">
        <v>40</v>
      </c>
      <c r="E22" s="88">
        <f t="shared" si="3"/>
        <v>5708.1</v>
      </c>
      <c r="F22" s="88"/>
      <c r="G22" s="112" t="s">
        <v>19</v>
      </c>
      <c r="H22" s="88">
        <v>5708.1</v>
      </c>
      <c r="I22" s="3">
        <f t="shared" si="9"/>
        <v>5365.6</v>
      </c>
      <c r="J22" s="6" t="s">
        <v>19</v>
      </c>
      <c r="K22" s="3">
        <v>5365.6</v>
      </c>
      <c r="L22" s="3">
        <f t="shared" si="10"/>
        <v>5365.6</v>
      </c>
      <c r="M22" s="6" t="s">
        <v>19</v>
      </c>
      <c r="N22" s="3">
        <v>5365.6</v>
      </c>
      <c r="O22" s="79">
        <f t="shared" si="11"/>
        <v>0.93999754734500096</v>
      </c>
      <c r="P22" s="79">
        <f t="shared" si="12"/>
        <v>0.93999754734500096</v>
      </c>
    </row>
    <row r="23" spans="1:16" s="2" customFormat="1" ht="31.5" customHeight="1" x14ac:dyDescent="0.25">
      <c r="A23" s="96" t="s">
        <v>166</v>
      </c>
      <c r="B23" s="97" t="s">
        <v>71</v>
      </c>
      <c r="C23" s="83" t="s">
        <v>77</v>
      </c>
      <c r="D23" s="78" t="s">
        <v>40</v>
      </c>
      <c r="E23" s="88">
        <f t="shared" si="3"/>
        <v>10112.1</v>
      </c>
      <c r="F23" s="88"/>
      <c r="G23" s="112" t="s">
        <v>19</v>
      </c>
      <c r="H23" s="88">
        <v>10112.1</v>
      </c>
      <c r="I23" s="3">
        <f t="shared" si="9"/>
        <v>9432.4</v>
      </c>
      <c r="J23" s="6" t="s">
        <v>19</v>
      </c>
      <c r="K23" s="3">
        <v>9432.4</v>
      </c>
      <c r="L23" s="3">
        <f t="shared" si="10"/>
        <v>9432.4</v>
      </c>
      <c r="M23" s="6" t="s">
        <v>19</v>
      </c>
      <c r="N23" s="3">
        <v>9432.4</v>
      </c>
      <c r="O23" s="79">
        <f t="shared" si="11"/>
        <v>0.93278349699864516</v>
      </c>
      <c r="P23" s="79">
        <f t="shared" si="12"/>
        <v>0.93278349699864516</v>
      </c>
    </row>
    <row r="24" spans="1:16" s="2" customFormat="1" ht="33" x14ac:dyDescent="0.25">
      <c r="A24" s="96" t="s">
        <v>167</v>
      </c>
      <c r="B24" s="97" t="s">
        <v>104</v>
      </c>
      <c r="C24" s="83" t="s">
        <v>77</v>
      </c>
      <c r="D24" s="78" t="s">
        <v>40</v>
      </c>
      <c r="E24" s="88">
        <f t="shared" si="3"/>
        <v>4019.3</v>
      </c>
      <c r="F24" s="88"/>
      <c r="G24" s="112" t="s">
        <v>19</v>
      </c>
      <c r="H24" s="88">
        <v>4019.3</v>
      </c>
      <c r="I24" s="3">
        <f t="shared" si="9"/>
        <v>4019.3</v>
      </c>
      <c r="J24" s="6" t="s">
        <v>19</v>
      </c>
      <c r="K24" s="3">
        <v>4019.3</v>
      </c>
      <c r="L24" s="3">
        <f t="shared" si="10"/>
        <v>4019.3</v>
      </c>
      <c r="M24" s="6" t="s">
        <v>19</v>
      </c>
      <c r="N24" s="3">
        <v>4019.3</v>
      </c>
      <c r="O24" s="79">
        <f t="shared" si="11"/>
        <v>1</v>
      </c>
      <c r="P24" s="79">
        <f t="shared" si="12"/>
        <v>1</v>
      </c>
    </row>
    <row r="25" spans="1:16" s="2" customFormat="1" ht="33" x14ac:dyDescent="0.25">
      <c r="A25" s="96" t="s">
        <v>168</v>
      </c>
      <c r="B25" s="97" t="s">
        <v>72</v>
      </c>
      <c r="C25" s="83" t="s">
        <v>77</v>
      </c>
      <c r="D25" s="78" t="s">
        <v>40</v>
      </c>
      <c r="E25" s="88">
        <f t="shared" si="3"/>
        <v>8384.7999999999993</v>
      </c>
      <c r="F25" s="88"/>
      <c r="G25" s="112" t="s">
        <v>19</v>
      </c>
      <c r="H25" s="88">
        <v>8384.7999999999993</v>
      </c>
      <c r="I25" s="3">
        <f t="shared" si="9"/>
        <v>8379.6</v>
      </c>
      <c r="J25" s="6" t="s">
        <v>19</v>
      </c>
      <c r="K25" s="3">
        <v>8379.6</v>
      </c>
      <c r="L25" s="3">
        <f t="shared" si="10"/>
        <v>8379.6</v>
      </c>
      <c r="M25" s="6" t="s">
        <v>19</v>
      </c>
      <c r="N25" s="3">
        <v>8379.6</v>
      </c>
      <c r="O25" s="79">
        <f t="shared" si="11"/>
        <v>0.9993798301688771</v>
      </c>
      <c r="P25" s="79">
        <f t="shared" si="12"/>
        <v>0.9993798301688771</v>
      </c>
    </row>
    <row r="26" spans="1:16" s="2" customFormat="1" ht="33" x14ac:dyDescent="0.25">
      <c r="A26" s="96" t="s">
        <v>169</v>
      </c>
      <c r="B26" s="97" t="s">
        <v>74</v>
      </c>
      <c r="C26" s="83" t="s">
        <v>77</v>
      </c>
      <c r="D26" s="78" t="s">
        <v>40</v>
      </c>
      <c r="E26" s="88">
        <f t="shared" si="3"/>
        <v>3744.1</v>
      </c>
      <c r="F26" s="88"/>
      <c r="G26" s="112" t="s">
        <v>19</v>
      </c>
      <c r="H26" s="88">
        <v>3744.1</v>
      </c>
      <c r="I26" s="3">
        <f t="shared" si="9"/>
        <v>3187.8</v>
      </c>
      <c r="J26" s="6" t="s">
        <v>19</v>
      </c>
      <c r="K26" s="3">
        <v>3187.8</v>
      </c>
      <c r="L26" s="3">
        <f t="shared" si="10"/>
        <v>3187.8</v>
      </c>
      <c r="M26" s="6" t="s">
        <v>19</v>
      </c>
      <c r="N26" s="3">
        <v>3187.8</v>
      </c>
      <c r="O26" s="79">
        <f t="shared" si="11"/>
        <v>0.85141956678507524</v>
      </c>
      <c r="P26" s="79">
        <f t="shared" si="12"/>
        <v>0.85141956678507524</v>
      </c>
    </row>
    <row r="27" spans="1:16" s="2" customFormat="1" ht="31.5" customHeight="1" x14ac:dyDescent="0.25">
      <c r="A27" s="76" t="s">
        <v>60</v>
      </c>
      <c r="B27" s="203" t="s">
        <v>138</v>
      </c>
      <c r="C27" s="203"/>
      <c r="D27" s="203"/>
      <c r="E27" s="112">
        <f t="shared" ref="E27:E30" si="13">H27</f>
        <v>19590.099999999999</v>
      </c>
      <c r="F27" s="112">
        <v>0</v>
      </c>
      <c r="G27" s="112">
        <v>0</v>
      </c>
      <c r="H27" s="112">
        <f>SUM(H28:H30)</f>
        <v>19590.099999999999</v>
      </c>
      <c r="I27" s="112">
        <f>K27</f>
        <v>18490.099999999999</v>
      </c>
      <c r="J27" s="112">
        <v>0</v>
      </c>
      <c r="K27" s="112">
        <f>SUM(K28:K30)</f>
        <v>18490.099999999999</v>
      </c>
      <c r="L27" s="112">
        <f>N27</f>
        <v>18490.099999999999</v>
      </c>
      <c r="M27" s="112">
        <v>0</v>
      </c>
      <c r="N27" s="112">
        <f>SUM(N28:N30)</f>
        <v>18490.099999999999</v>
      </c>
      <c r="O27" s="80">
        <f>I27/E27</f>
        <v>0.94384918913124483</v>
      </c>
      <c r="P27" s="80">
        <f t="shared" si="12"/>
        <v>0.94384918913124483</v>
      </c>
    </row>
    <row r="28" spans="1:16" s="2" customFormat="1" ht="49.5" x14ac:dyDescent="0.25">
      <c r="A28" s="76" t="s">
        <v>170</v>
      </c>
      <c r="B28" s="24" t="s">
        <v>139</v>
      </c>
      <c r="C28" s="78" t="s">
        <v>39</v>
      </c>
      <c r="D28" s="78" t="s">
        <v>40</v>
      </c>
      <c r="E28" s="88">
        <f t="shared" si="13"/>
        <v>14700</v>
      </c>
      <c r="F28" s="88"/>
      <c r="G28" s="88" t="s">
        <v>19</v>
      </c>
      <c r="H28" s="88">
        <v>14700</v>
      </c>
      <c r="I28" s="88">
        <f t="shared" ref="I28:I30" si="14">K28</f>
        <v>14700</v>
      </c>
      <c r="J28" s="88" t="s">
        <v>19</v>
      </c>
      <c r="K28" s="88">
        <v>14700</v>
      </c>
      <c r="L28" s="88">
        <f t="shared" ref="L28:L30" si="15">N28</f>
        <v>14700</v>
      </c>
      <c r="M28" s="112" t="s">
        <v>19</v>
      </c>
      <c r="N28" s="88">
        <v>14700</v>
      </c>
      <c r="O28" s="79">
        <f t="shared" si="11"/>
        <v>1</v>
      </c>
      <c r="P28" s="79">
        <f t="shared" si="12"/>
        <v>1</v>
      </c>
    </row>
    <row r="29" spans="1:16" s="2" customFormat="1" ht="49.5" x14ac:dyDescent="0.25">
      <c r="A29" s="76" t="s">
        <v>171</v>
      </c>
      <c r="B29" s="28" t="s">
        <v>140</v>
      </c>
      <c r="C29" s="78" t="s">
        <v>39</v>
      </c>
      <c r="D29" s="78" t="s">
        <v>40</v>
      </c>
      <c r="E29" s="88">
        <f t="shared" si="13"/>
        <v>1100</v>
      </c>
      <c r="F29" s="88"/>
      <c r="G29" s="88" t="s">
        <v>19</v>
      </c>
      <c r="H29" s="88">
        <v>1100</v>
      </c>
      <c r="I29" s="88" t="str">
        <f t="shared" si="14"/>
        <v>-</v>
      </c>
      <c r="J29" s="88" t="s">
        <v>19</v>
      </c>
      <c r="K29" s="88" t="s">
        <v>19</v>
      </c>
      <c r="L29" s="88" t="str">
        <f t="shared" si="15"/>
        <v>-</v>
      </c>
      <c r="M29" s="112" t="s">
        <v>19</v>
      </c>
      <c r="N29" s="88" t="s">
        <v>19</v>
      </c>
      <c r="O29" s="79" t="s">
        <v>19</v>
      </c>
      <c r="P29" s="79" t="s">
        <v>19</v>
      </c>
    </row>
    <row r="30" spans="1:16" s="2" customFormat="1" ht="49.5" x14ac:dyDescent="0.25">
      <c r="A30" s="76" t="s">
        <v>172</v>
      </c>
      <c r="B30" s="28" t="s">
        <v>141</v>
      </c>
      <c r="C30" s="78" t="s">
        <v>39</v>
      </c>
      <c r="D30" s="78" t="s">
        <v>40</v>
      </c>
      <c r="E30" s="88">
        <f t="shared" si="13"/>
        <v>3790.1</v>
      </c>
      <c r="F30" s="88"/>
      <c r="G30" s="88" t="s">
        <v>19</v>
      </c>
      <c r="H30" s="88">
        <v>3790.1</v>
      </c>
      <c r="I30" s="88">
        <f t="shared" si="14"/>
        <v>3790.1</v>
      </c>
      <c r="J30" s="88" t="s">
        <v>19</v>
      </c>
      <c r="K30" s="88">
        <v>3790.1</v>
      </c>
      <c r="L30" s="88">
        <f t="shared" si="15"/>
        <v>3790.1</v>
      </c>
      <c r="M30" s="112" t="s">
        <v>19</v>
      </c>
      <c r="N30" s="88">
        <f>K30</f>
        <v>3790.1</v>
      </c>
      <c r="O30" s="79">
        <f t="shared" si="11"/>
        <v>1</v>
      </c>
      <c r="P30" s="79">
        <f t="shared" si="12"/>
        <v>1</v>
      </c>
    </row>
    <row r="31" spans="1:16" s="2" customFormat="1" ht="31.5" customHeight="1" x14ac:dyDescent="0.25">
      <c r="A31" s="81"/>
      <c r="B31" s="203" t="s">
        <v>142</v>
      </c>
      <c r="C31" s="203"/>
      <c r="D31" s="203"/>
      <c r="E31" s="112">
        <f>H31</f>
        <v>43508.712330000002</v>
      </c>
      <c r="F31" s="112">
        <v>0</v>
      </c>
      <c r="G31" s="112">
        <f>G32+G52+G70</f>
        <v>0</v>
      </c>
      <c r="H31" s="112">
        <f>H32+H52+H70</f>
        <v>43508.712330000002</v>
      </c>
      <c r="I31" s="112">
        <f>K31</f>
        <v>39546.17497</v>
      </c>
      <c r="J31" s="112">
        <f>J32+J52+J70</f>
        <v>0</v>
      </c>
      <c r="K31" s="112">
        <f>K32+K52+K70</f>
        <v>39546.17497</v>
      </c>
      <c r="L31" s="112">
        <f>N31</f>
        <v>39546.17497</v>
      </c>
      <c r="M31" s="112">
        <f>M32+M52+M70</f>
        <v>0</v>
      </c>
      <c r="N31" s="112">
        <f>N32+N52+N70</f>
        <v>39546.17497</v>
      </c>
      <c r="O31" s="80">
        <f t="shared" si="11"/>
        <v>0.908925427855796</v>
      </c>
      <c r="P31" s="80">
        <f t="shared" si="12"/>
        <v>0.908925427855796</v>
      </c>
    </row>
    <row r="32" spans="1:16" s="2" customFormat="1" ht="31.5" customHeight="1" x14ac:dyDescent="0.25">
      <c r="A32" s="76" t="s">
        <v>83</v>
      </c>
      <c r="B32" s="203" t="s">
        <v>143</v>
      </c>
      <c r="C32" s="203"/>
      <c r="D32" s="203"/>
      <c r="E32" s="112">
        <f t="shared" ref="E32:E51" si="16">H32</f>
        <v>12186.499999999998</v>
      </c>
      <c r="F32" s="112">
        <v>0</v>
      </c>
      <c r="G32" s="112">
        <v>0</v>
      </c>
      <c r="H32" s="112">
        <f>SUM(H33:H51)</f>
        <v>12186.499999999998</v>
      </c>
      <c r="I32" s="112">
        <f>K32</f>
        <v>10493.442519999999</v>
      </c>
      <c r="J32" s="112">
        <v>0</v>
      </c>
      <c r="K32" s="112">
        <f>SUM(K33:K51)</f>
        <v>10493.442519999999</v>
      </c>
      <c r="L32" s="112">
        <f>N32</f>
        <v>10493.442519999999</v>
      </c>
      <c r="M32" s="112">
        <v>0</v>
      </c>
      <c r="N32" s="112">
        <f>SUM(N33:N51)</f>
        <v>10493.442519999999</v>
      </c>
      <c r="O32" s="80">
        <f t="shared" si="11"/>
        <v>0.8610710638821647</v>
      </c>
      <c r="P32" s="80">
        <f t="shared" si="12"/>
        <v>0.8610710638821647</v>
      </c>
    </row>
    <row r="33" spans="1:16" s="2" customFormat="1" ht="31.5" customHeight="1" x14ac:dyDescent="0.25">
      <c r="A33" s="76" t="s">
        <v>181</v>
      </c>
      <c r="B33" s="97" t="s">
        <v>103</v>
      </c>
      <c r="C33" s="78" t="s">
        <v>39</v>
      </c>
      <c r="D33" s="78" t="s">
        <v>40</v>
      </c>
      <c r="E33" s="88">
        <f t="shared" si="16"/>
        <v>87.5</v>
      </c>
      <c r="F33" s="88"/>
      <c r="G33" s="88" t="s">
        <v>19</v>
      </c>
      <c r="H33" s="125">
        <v>87.5</v>
      </c>
      <c r="I33" s="88">
        <f t="shared" ref="I33:I51" si="17">K33</f>
        <v>87.5</v>
      </c>
      <c r="J33" s="88" t="s">
        <v>19</v>
      </c>
      <c r="K33" s="88">
        <v>87.5</v>
      </c>
      <c r="L33" s="88">
        <f t="shared" ref="L33:L51" si="18">N33</f>
        <v>87.5</v>
      </c>
      <c r="M33" s="112" t="s">
        <v>19</v>
      </c>
      <c r="N33" s="88">
        <f t="shared" ref="N33:N44" si="19">K33</f>
        <v>87.5</v>
      </c>
      <c r="O33" s="79">
        <f t="shared" si="11"/>
        <v>1</v>
      </c>
      <c r="P33" s="79">
        <f t="shared" si="12"/>
        <v>1</v>
      </c>
    </row>
    <row r="34" spans="1:16" s="2" customFormat="1" ht="31.5" customHeight="1" x14ac:dyDescent="0.25">
      <c r="A34" s="76" t="s">
        <v>182</v>
      </c>
      <c r="B34" s="97" t="s">
        <v>64</v>
      </c>
      <c r="C34" s="78" t="s">
        <v>39</v>
      </c>
      <c r="D34" s="78" t="s">
        <v>40</v>
      </c>
      <c r="E34" s="88">
        <f t="shared" si="16"/>
        <v>2286.8000000000002</v>
      </c>
      <c r="F34" s="88"/>
      <c r="G34" s="88" t="s">
        <v>19</v>
      </c>
      <c r="H34" s="125">
        <v>2286.8000000000002</v>
      </c>
      <c r="I34" s="88">
        <f>K34</f>
        <v>754.98347000000001</v>
      </c>
      <c r="J34" s="88" t="s">
        <v>19</v>
      </c>
      <c r="K34" s="88">
        <f>428+326.98347</f>
        <v>754.98347000000001</v>
      </c>
      <c r="L34" s="88">
        <f t="shared" si="18"/>
        <v>754.98347000000001</v>
      </c>
      <c r="M34" s="112" t="s">
        <v>19</v>
      </c>
      <c r="N34" s="88">
        <f t="shared" si="19"/>
        <v>754.98347000000001</v>
      </c>
      <c r="O34" s="79">
        <f t="shared" si="11"/>
        <v>0.3301484476123841</v>
      </c>
      <c r="P34" s="79">
        <f t="shared" si="12"/>
        <v>0.3301484476123841</v>
      </c>
    </row>
    <row r="35" spans="1:16" s="2" customFormat="1" ht="31.5" customHeight="1" x14ac:dyDescent="0.25">
      <c r="A35" s="76" t="s">
        <v>183</v>
      </c>
      <c r="B35" s="97" t="s">
        <v>144</v>
      </c>
      <c r="C35" s="78" t="s">
        <v>39</v>
      </c>
      <c r="D35" s="78" t="s">
        <v>40</v>
      </c>
      <c r="E35" s="88">
        <f t="shared" si="16"/>
        <v>3601.5</v>
      </c>
      <c r="F35" s="88"/>
      <c r="G35" s="88" t="s">
        <v>19</v>
      </c>
      <c r="H35" s="125">
        <v>3601.5</v>
      </c>
      <c r="I35" s="88">
        <f t="shared" si="17"/>
        <v>3601.5</v>
      </c>
      <c r="J35" s="88" t="s">
        <v>19</v>
      </c>
      <c r="K35" s="88">
        <f>1805.07519+1796.42481</f>
        <v>3601.5</v>
      </c>
      <c r="L35" s="88">
        <f t="shared" si="18"/>
        <v>3601.5</v>
      </c>
      <c r="M35" s="112" t="s">
        <v>19</v>
      </c>
      <c r="N35" s="88">
        <f t="shared" si="19"/>
        <v>3601.5</v>
      </c>
      <c r="O35" s="79">
        <f t="shared" si="11"/>
        <v>1</v>
      </c>
      <c r="P35" s="79">
        <f t="shared" si="12"/>
        <v>1</v>
      </c>
    </row>
    <row r="36" spans="1:16" s="2" customFormat="1" ht="31.5" customHeight="1" x14ac:dyDescent="0.25">
      <c r="A36" s="76" t="s">
        <v>184</v>
      </c>
      <c r="B36" s="97" t="s">
        <v>65</v>
      </c>
      <c r="C36" s="78" t="s">
        <v>39</v>
      </c>
      <c r="D36" s="78" t="s">
        <v>40</v>
      </c>
      <c r="E36" s="88">
        <f t="shared" si="16"/>
        <v>664.5</v>
      </c>
      <c r="F36" s="88"/>
      <c r="G36" s="88" t="s">
        <v>19</v>
      </c>
      <c r="H36" s="125">
        <v>664.5</v>
      </c>
      <c r="I36" s="88">
        <f t="shared" si="17"/>
        <v>664.49800000000005</v>
      </c>
      <c r="J36" s="88" t="s">
        <v>19</v>
      </c>
      <c r="K36" s="88">
        <f>583.398+81.1</f>
        <v>664.49800000000005</v>
      </c>
      <c r="L36" s="88">
        <f t="shared" si="18"/>
        <v>664.49800000000005</v>
      </c>
      <c r="M36" s="112" t="s">
        <v>19</v>
      </c>
      <c r="N36" s="88">
        <f t="shared" si="19"/>
        <v>664.49800000000005</v>
      </c>
      <c r="O36" s="79">
        <f t="shared" si="11"/>
        <v>0.9999969902182092</v>
      </c>
      <c r="P36" s="79">
        <f t="shared" si="12"/>
        <v>0.9999969902182092</v>
      </c>
    </row>
    <row r="37" spans="1:16" s="2" customFormat="1" ht="31.5" customHeight="1" x14ac:dyDescent="0.25">
      <c r="A37" s="76" t="s">
        <v>185</v>
      </c>
      <c r="B37" s="97" t="s">
        <v>66</v>
      </c>
      <c r="C37" s="78" t="s">
        <v>39</v>
      </c>
      <c r="D37" s="78" t="s">
        <v>40</v>
      </c>
      <c r="E37" s="88">
        <f t="shared" si="16"/>
        <v>265</v>
      </c>
      <c r="F37" s="88"/>
      <c r="G37" s="88" t="s">
        <v>19</v>
      </c>
      <c r="H37" s="125">
        <v>265</v>
      </c>
      <c r="I37" s="88">
        <f t="shared" si="17"/>
        <v>265</v>
      </c>
      <c r="J37" s="88" t="s">
        <v>19</v>
      </c>
      <c r="K37" s="88">
        <v>265</v>
      </c>
      <c r="L37" s="88">
        <f t="shared" si="18"/>
        <v>265</v>
      </c>
      <c r="M37" s="112" t="s">
        <v>19</v>
      </c>
      <c r="N37" s="88">
        <f t="shared" si="19"/>
        <v>265</v>
      </c>
      <c r="O37" s="79">
        <f t="shared" si="11"/>
        <v>1</v>
      </c>
      <c r="P37" s="79">
        <f t="shared" si="12"/>
        <v>1</v>
      </c>
    </row>
    <row r="38" spans="1:16" s="2" customFormat="1" ht="31.5" customHeight="1" x14ac:dyDescent="0.25">
      <c r="A38" s="76" t="s">
        <v>186</v>
      </c>
      <c r="B38" s="97" t="s">
        <v>80</v>
      </c>
      <c r="C38" s="78" t="s">
        <v>39</v>
      </c>
      <c r="D38" s="78" t="s">
        <v>40</v>
      </c>
      <c r="E38" s="88">
        <f t="shared" si="16"/>
        <v>208</v>
      </c>
      <c r="F38" s="88"/>
      <c r="G38" s="88" t="s">
        <v>19</v>
      </c>
      <c r="H38" s="125">
        <v>208</v>
      </c>
      <c r="I38" s="88">
        <f t="shared" si="17"/>
        <v>88.063700000000011</v>
      </c>
      <c r="J38" s="88" t="s">
        <v>19</v>
      </c>
      <c r="K38" s="88">
        <f>83.558+4.5057</f>
        <v>88.063700000000011</v>
      </c>
      <c r="L38" s="88">
        <f t="shared" si="18"/>
        <v>88.063700000000011</v>
      </c>
      <c r="M38" s="112" t="s">
        <v>19</v>
      </c>
      <c r="N38" s="88">
        <f t="shared" si="19"/>
        <v>88.063700000000011</v>
      </c>
      <c r="O38" s="79">
        <f t="shared" si="11"/>
        <v>0.42338317307692314</v>
      </c>
      <c r="P38" s="79">
        <f t="shared" si="12"/>
        <v>0.42338317307692314</v>
      </c>
    </row>
    <row r="39" spans="1:16" s="2" customFormat="1" ht="31.5" customHeight="1" x14ac:dyDescent="0.25">
      <c r="A39" s="76" t="s">
        <v>187</v>
      </c>
      <c r="B39" s="97" t="s">
        <v>67</v>
      </c>
      <c r="C39" s="78" t="s">
        <v>39</v>
      </c>
      <c r="D39" s="78" t="s">
        <v>40</v>
      </c>
      <c r="E39" s="88">
        <f t="shared" si="16"/>
        <v>302</v>
      </c>
      <c r="F39" s="88"/>
      <c r="G39" s="88" t="s">
        <v>19</v>
      </c>
      <c r="H39" s="125">
        <v>302</v>
      </c>
      <c r="I39" s="88">
        <f t="shared" si="17"/>
        <v>302</v>
      </c>
      <c r="J39" s="88" t="s">
        <v>19</v>
      </c>
      <c r="K39" s="88">
        <f>152+150</f>
        <v>302</v>
      </c>
      <c r="L39" s="88">
        <f t="shared" si="18"/>
        <v>302</v>
      </c>
      <c r="M39" s="112" t="s">
        <v>19</v>
      </c>
      <c r="N39" s="88">
        <f t="shared" si="19"/>
        <v>302</v>
      </c>
      <c r="O39" s="79">
        <f t="shared" si="11"/>
        <v>1</v>
      </c>
      <c r="P39" s="79">
        <f t="shared" si="12"/>
        <v>1</v>
      </c>
    </row>
    <row r="40" spans="1:16" s="2" customFormat="1" ht="31.5" customHeight="1" x14ac:dyDescent="0.25">
      <c r="A40" s="76" t="s">
        <v>188</v>
      </c>
      <c r="B40" s="97" t="s">
        <v>68</v>
      </c>
      <c r="C40" s="78" t="s">
        <v>39</v>
      </c>
      <c r="D40" s="78" t="s">
        <v>40</v>
      </c>
      <c r="E40" s="88">
        <f t="shared" si="16"/>
        <v>399.5</v>
      </c>
      <c r="F40" s="88"/>
      <c r="G40" s="88" t="s">
        <v>19</v>
      </c>
      <c r="H40" s="125">
        <v>399.5</v>
      </c>
      <c r="I40" s="88">
        <f t="shared" si="17"/>
        <v>399.5</v>
      </c>
      <c r="J40" s="88" t="s">
        <v>19</v>
      </c>
      <c r="K40" s="88">
        <f>199.998+199.502</f>
        <v>399.5</v>
      </c>
      <c r="L40" s="88">
        <f t="shared" si="18"/>
        <v>399.5</v>
      </c>
      <c r="M40" s="112" t="s">
        <v>19</v>
      </c>
      <c r="N40" s="88">
        <f t="shared" si="19"/>
        <v>399.5</v>
      </c>
      <c r="O40" s="79">
        <f t="shared" si="11"/>
        <v>1</v>
      </c>
      <c r="P40" s="79">
        <f t="shared" si="12"/>
        <v>1</v>
      </c>
    </row>
    <row r="41" spans="1:16" s="2" customFormat="1" ht="31.5" customHeight="1" x14ac:dyDescent="0.25">
      <c r="A41" s="76" t="s">
        <v>189</v>
      </c>
      <c r="B41" s="97" t="s">
        <v>69</v>
      </c>
      <c r="C41" s="78" t="s">
        <v>39</v>
      </c>
      <c r="D41" s="78" t="s">
        <v>40</v>
      </c>
      <c r="E41" s="88">
        <f t="shared" si="16"/>
        <v>399.5</v>
      </c>
      <c r="F41" s="88"/>
      <c r="G41" s="88" t="s">
        <v>19</v>
      </c>
      <c r="H41" s="125">
        <v>399.5</v>
      </c>
      <c r="I41" s="88">
        <f t="shared" si="17"/>
        <v>399.43858</v>
      </c>
      <c r="J41" s="88" t="s">
        <v>19</v>
      </c>
      <c r="K41" s="88">
        <f>150+249.43858</f>
        <v>399.43858</v>
      </c>
      <c r="L41" s="88">
        <f t="shared" si="18"/>
        <v>399.43858</v>
      </c>
      <c r="M41" s="112" t="s">
        <v>19</v>
      </c>
      <c r="N41" s="88">
        <f t="shared" si="19"/>
        <v>399.43858</v>
      </c>
      <c r="O41" s="79">
        <f t="shared" si="11"/>
        <v>0.99984625782227787</v>
      </c>
      <c r="P41" s="79">
        <f t="shared" si="12"/>
        <v>0.99984625782227787</v>
      </c>
    </row>
    <row r="42" spans="1:16" s="2" customFormat="1" ht="31.5" customHeight="1" x14ac:dyDescent="0.25">
      <c r="A42" s="76" t="s">
        <v>190</v>
      </c>
      <c r="B42" s="97" t="s">
        <v>70</v>
      </c>
      <c r="C42" s="78" t="s">
        <v>39</v>
      </c>
      <c r="D42" s="78" t="s">
        <v>40</v>
      </c>
      <c r="E42" s="88">
        <f t="shared" si="16"/>
        <v>434</v>
      </c>
      <c r="F42" s="88"/>
      <c r="G42" s="88" t="s">
        <v>19</v>
      </c>
      <c r="H42" s="125">
        <v>434</v>
      </c>
      <c r="I42" s="88">
        <f t="shared" si="17"/>
        <v>434</v>
      </c>
      <c r="J42" s="88" t="s">
        <v>19</v>
      </c>
      <c r="K42" s="88">
        <f>132.00734+301.99266</f>
        <v>434</v>
      </c>
      <c r="L42" s="88">
        <f t="shared" si="18"/>
        <v>434</v>
      </c>
      <c r="M42" s="112" t="s">
        <v>19</v>
      </c>
      <c r="N42" s="88">
        <f t="shared" si="19"/>
        <v>434</v>
      </c>
      <c r="O42" s="79">
        <f t="shared" si="11"/>
        <v>1</v>
      </c>
      <c r="P42" s="79">
        <f t="shared" si="12"/>
        <v>1</v>
      </c>
    </row>
    <row r="43" spans="1:16" s="2" customFormat="1" ht="31.5" customHeight="1" x14ac:dyDescent="0.25">
      <c r="A43" s="76" t="s">
        <v>191</v>
      </c>
      <c r="B43" s="97" t="s">
        <v>81</v>
      </c>
      <c r="C43" s="78" t="s">
        <v>39</v>
      </c>
      <c r="D43" s="78" t="s">
        <v>40</v>
      </c>
      <c r="E43" s="88">
        <f t="shared" si="16"/>
        <v>143.6</v>
      </c>
      <c r="F43" s="88"/>
      <c r="G43" s="88" t="s">
        <v>19</v>
      </c>
      <c r="H43" s="125">
        <v>143.6</v>
      </c>
      <c r="I43" s="88">
        <f t="shared" si="17"/>
        <v>143.51042000000001</v>
      </c>
      <c r="J43" s="88" t="s">
        <v>19</v>
      </c>
      <c r="K43" s="88">
        <v>143.51042000000001</v>
      </c>
      <c r="L43" s="88">
        <f t="shared" si="18"/>
        <v>143.51042000000001</v>
      </c>
      <c r="M43" s="112" t="s">
        <v>19</v>
      </c>
      <c r="N43" s="88">
        <f t="shared" si="19"/>
        <v>143.51042000000001</v>
      </c>
      <c r="O43" s="79">
        <f t="shared" si="11"/>
        <v>0.99937618384401128</v>
      </c>
      <c r="P43" s="79">
        <f t="shared" si="12"/>
        <v>0.99937618384401128</v>
      </c>
    </row>
    <row r="44" spans="1:16" s="2" customFormat="1" ht="31.5" customHeight="1" x14ac:dyDescent="0.25">
      <c r="A44" s="76" t="s">
        <v>192</v>
      </c>
      <c r="B44" s="97" t="s">
        <v>82</v>
      </c>
      <c r="C44" s="78" t="s">
        <v>39</v>
      </c>
      <c r="D44" s="78" t="s">
        <v>40</v>
      </c>
      <c r="E44" s="88">
        <f t="shared" si="16"/>
        <v>1181.5</v>
      </c>
      <c r="F44" s="88"/>
      <c r="G44" s="88" t="s">
        <v>19</v>
      </c>
      <c r="H44" s="125">
        <v>1181.5</v>
      </c>
      <c r="I44" s="88">
        <f t="shared" si="17"/>
        <v>1140.5</v>
      </c>
      <c r="J44" s="88" t="s">
        <v>19</v>
      </c>
      <c r="K44" s="88">
        <f>781.5+359</f>
        <v>1140.5</v>
      </c>
      <c r="L44" s="88">
        <f t="shared" si="18"/>
        <v>1140.5</v>
      </c>
      <c r="M44" s="112" t="s">
        <v>19</v>
      </c>
      <c r="N44" s="88">
        <f t="shared" si="19"/>
        <v>1140.5</v>
      </c>
      <c r="O44" s="79">
        <f t="shared" si="11"/>
        <v>0.96529834955564964</v>
      </c>
      <c r="P44" s="79">
        <f t="shared" si="12"/>
        <v>0.96529834955564964</v>
      </c>
    </row>
    <row r="45" spans="1:16" s="2" customFormat="1" ht="31.5" customHeight="1" x14ac:dyDescent="0.25">
      <c r="A45" s="76" t="s">
        <v>193</v>
      </c>
      <c r="B45" s="97" t="s">
        <v>71</v>
      </c>
      <c r="C45" s="78" t="s">
        <v>39</v>
      </c>
      <c r="D45" s="78" t="s">
        <v>40</v>
      </c>
      <c r="E45" s="88">
        <f t="shared" si="16"/>
        <v>299.5</v>
      </c>
      <c r="F45" s="88"/>
      <c r="G45" s="88" t="s">
        <v>19</v>
      </c>
      <c r="H45" s="125">
        <v>299.5</v>
      </c>
      <c r="I45" s="88">
        <f t="shared" si="17"/>
        <v>299.5</v>
      </c>
      <c r="J45" s="88" t="s">
        <v>19</v>
      </c>
      <c r="K45" s="88">
        <v>299.5</v>
      </c>
      <c r="L45" s="88">
        <f t="shared" si="18"/>
        <v>299.5</v>
      </c>
      <c r="M45" s="112" t="s">
        <v>19</v>
      </c>
      <c r="N45" s="88">
        <v>299.5</v>
      </c>
      <c r="O45" s="79">
        <f t="shared" si="11"/>
        <v>1</v>
      </c>
      <c r="P45" s="79">
        <f t="shared" si="12"/>
        <v>1</v>
      </c>
    </row>
    <row r="46" spans="1:16" s="2" customFormat="1" ht="31.5" customHeight="1" x14ac:dyDescent="0.25">
      <c r="A46" s="76" t="s">
        <v>194</v>
      </c>
      <c r="B46" s="97" t="s">
        <v>104</v>
      </c>
      <c r="C46" s="78" t="s">
        <v>39</v>
      </c>
      <c r="D46" s="78" t="s">
        <v>40</v>
      </c>
      <c r="E46" s="88">
        <f t="shared" si="16"/>
        <v>653.29999999999995</v>
      </c>
      <c r="F46" s="88"/>
      <c r="G46" s="88" t="s">
        <v>19</v>
      </c>
      <c r="H46" s="125">
        <v>653.29999999999995</v>
      </c>
      <c r="I46" s="88">
        <f t="shared" si="17"/>
        <v>653.29999999999995</v>
      </c>
      <c r="J46" s="88" t="s">
        <v>19</v>
      </c>
      <c r="K46" s="88">
        <f>163.41225+489.88775</f>
        <v>653.29999999999995</v>
      </c>
      <c r="L46" s="88">
        <f t="shared" si="18"/>
        <v>653.29999999999995</v>
      </c>
      <c r="M46" s="112" t="s">
        <v>19</v>
      </c>
      <c r="N46" s="88">
        <f>K46</f>
        <v>653.29999999999995</v>
      </c>
      <c r="O46" s="79">
        <f t="shared" si="11"/>
        <v>1</v>
      </c>
      <c r="P46" s="79">
        <f t="shared" si="12"/>
        <v>1</v>
      </c>
    </row>
    <row r="47" spans="1:16" s="2" customFormat="1" ht="31.5" customHeight="1" x14ac:dyDescent="0.25">
      <c r="A47" s="76" t="s">
        <v>195</v>
      </c>
      <c r="B47" s="97" t="s">
        <v>72</v>
      </c>
      <c r="C47" s="78" t="s">
        <v>39</v>
      </c>
      <c r="D47" s="78" t="s">
        <v>40</v>
      </c>
      <c r="E47" s="88">
        <f t="shared" si="16"/>
        <v>372.5</v>
      </c>
      <c r="F47" s="88"/>
      <c r="G47" s="88" t="s">
        <v>19</v>
      </c>
      <c r="H47" s="125">
        <v>372.5</v>
      </c>
      <c r="I47" s="88">
        <f t="shared" si="17"/>
        <v>372.5</v>
      </c>
      <c r="J47" s="88" t="s">
        <v>19</v>
      </c>
      <c r="K47" s="88">
        <f>200+172.5</f>
        <v>372.5</v>
      </c>
      <c r="L47" s="88">
        <f t="shared" si="18"/>
        <v>372.5</v>
      </c>
      <c r="M47" s="112" t="s">
        <v>19</v>
      </c>
      <c r="N47" s="88">
        <f>K47</f>
        <v>372.5</v>
      </c>
      <c r="O47" s="79">
        <f t="shared" si="11"/>
        <v>1</v>
      </c>
      <c r="P47" s="79">
        <f t="shared" si="12"/>
        <v>1</v>
      </c>
    </row>
    <row r="48" spans="1:16" s="2" customFormat="1" ht="31.5" customHeight="1" x14ac:dyDescent="0.25">
      <c r="A48" s="76" t="s">
        <v>196</v>
      </c>
      <c r="B48" s="97" t="s">
        <v>73</v>
      </c>
      <c r="C48" s="78" t="s">
        <v>39</v>
      </c>
      <c r="D48" s="78" t="s">
        <v>40</v>
      </c>
      <c r="E48" s="88">
        <f t="shared" si="16"/>
        <v>322.5</v>
      </c>
      <c r="F48" s="88"/>
      <c r="G48" s="88" t="s">
        <v>19</v>
      </c>
      <c r="H48" s="125">
        <v>322.5</v>
      </c>
      <c r="I48" s="88">
        <f t="shared" si="17"/>
        <v>322.41602999999998</v>
      </c>
      <c r="J48" s="88" t="s">
        <v>19</v>
      </c>
      <c r="K48" s="88">
        <v>322.41602999999998</v>
      </c>
      <c r="L48" s="88">
        <f t="shared" si="18"/>
        <v>322.41602999999998</v>
      </c>
      <c r="M48" s="112" t="s">
        <v>19</v>
      </c>
      <c r="N48" s="88">
        <v>322.41602999999998</v>
      </c>
      <c r="O48" s="79">
        <f t="shared" si="11"/>
        <v>0.99973962790697668</v>
      </c>
      <c r="P48" s="79">
        <f t="shared" si="12"/>
        <v>0.99973962790697668</v>
      </c>
    </row>
    <row r="49" spans="1:16" s="2" customFormat="1" ht="31.5" customHeight="1" x14ac:dyDescent="0.25">
      <c r="A49" s="76" t="s">
        <v>197</v>
      </c>
      <c r="B49" s="97" t="s">
        <v>74</v>
      </c>
      <c r="C49" s="78" t="s">
        <v>39</v>
      </c>
      <c r="D49" s="78" t="s">
        <v>40</v>
      </c>
      <c r="E49" s="88">
        <f t="shared" si="16"/>
        <v>224.5</v>
      </c>
      <c r="F49" s="88"/>
      <c r="G49" s="88" t="s">
        <v>19</v>
      </c>
      <c r="H49" s="125">
        <v>224.5</v>
      </c>
      <c r="I49" s="88">
        <f t="shared" si="17"/>
        <v>224.5</v>
      </c>
      <c r="J49" s="88" t="s">
        <v>19</v>
      </c>
      <c r="K49" s="88">
        <v>224.5</v>
      </c>
      <c r="L49" s="88">
        <f t="shared" si="18"/>
        <v>224.5</v>
      </c>
      <c r="M49" s="112" t="s">
        <v>19</v>
      </c>
      <c r="N49" s="88">
        <v>224.5</v>
      </c>
      <c r="O49" s="79">
        <f t="shared" si="11"/>
        <v>1</v>
      </c>
      <c r="P49" s="79">
        <f t="shared" si="12"/>
        <v>1</v>
      </c>
    </row>
    <row r="50" spans="1:16" s="2" customFormat="1" ht="31.5" customHeight="1" x14ac:dyDescent="0.25">
      <c r="A50" s="76" t="s">
        <v>198</v>
      </c>
      <c r="B50" s="97" t="s">
        <v>75</v>
      </c>
      <c r="C50" s="78" t="s">
        <v>39</v>
      </c>
      <c r="D50" s="78" t="s">
        <v>40</v>
      </c>
      <c r="E50" s="88">
        <f t="shared" si="16"/>
        <v>161</v>
      </c>
      <c r="F50" s="88"/>
      <c r="G50" s="88" t="s">
        <v>19</v>
      </c>
      <c r="H50" s="125">
        <v>161</v>
      </c>
      <c r="I50" s="88">
        <f t="shared" si="17"/>
        <v>161</v>
      </c>
      <c r="J50" s="88" t="s">
        <v>19</v>
      </c>
      <c r="K50" s="88">
        <f>66.43478+94.56522</f>
        <v>161</v>
      </c>
      <c r="L50" s="88">
        <f t="shared" si="18"/>
        <v>161</v>
      </c>
      <c r="M50" s="112" t="s">
        <v>19</v>
      </c>
      <c r="N50" s="88">
        <f>K50</f>
        <v>161</v>
      </c>
      <c r="O50" s="79">
        <f t="shared" si="11"/>
        <v>1</v>
      </c>
      <c r="P50" s="79">
        <f t="shared" si="12"/>
        <v>1</v>
      </c>
    </row>
    <row r="51" spans="1:16" s="2" customFormat="1" ht="31.5" customHeight="1" x14ac:dyDescent="0.25">
      <c r="A51" s="76" t="s">
        <v>199</v>
      </c>
      <c r="B51" s="97" t="s">
        <v>76</v>
      </c>
      <c r="C51" s="78" t="s">
        <v>39</v>
      </c>
      <c r="D51" s="78" t="s">
        <v>40</v>
      </c>
      <c r="E51" s="88">
        <f t="shared" si="16"/>
        <v>179.8</v>
      </c>
      <c r="F51" s="88"/>
      <c r="G51" s="88" t="s">
        <v>19</v>
      </c>
      <c r="H51" s="125">
        <v>179.8</v>
      </c>
      <c r="I51" s="88">
        <f t="shared" si="17"/>
        <v>179.73231999999999</v>
      </c>
      <c r="J51" s="88" t="s">
        <v>19</v>
      </c>
      <c r="K51" s="88">
        <f>121.2036+58.52872</f>
        <v>179.73231999999999</v>
      </c>
      <c r="L51" s="88">
        <f t="shared" si="18"/>
        <v>179.73231999999999</v>
      </c>
      <c r="M51" s="112" t="s">
        <v>19</v>
      </c>
      <c r="N51" s="88">
        <f>K51</f>
        <v>179.73231999999999</v>
      </c>
      <c r="O51" s="79">
        <f t="shared" si="11"/>
        <v>0.99962358175750821</v>
      </c>
      <c r="P51" s="79">
        <f t="shared" si="12"/>
        <v>0.99962358175750821</v>
      </c>
    </row>
    <row r="52" spans="1:16" s="2" customFormat="1" ht="31.5" customHeight="1" x14ac:dyDescent="0.25">
      <c r="A52" s="76" t="s">
        <v>84</v>
      </c>
      <c r="B52" s="203" t="s">
        <v>145</v>
      </c>
      <c r="C52" s="203"/>
      <c r="D52" s="203"/>
      <c r="E52" s="112">
        <f>H52</f>
        <v>30533.300000000003</v>
      </c>
      <c r="F52" s="112">
        <v>0</v>
      </c>
      <c r="G52" s="112">
        <v>0</v>
      </c>
      <c r="H52" s="112">
        <f>SUM(H53:H69)</f>
        <v>30533.300000000003</v>
      </c>
      <c r="I52" s="112">
        <f>K52</f>
        <v>28263.820120000004</v>
      </c>
      <c r="J52" s="112">
        <v>0</v>
      </c>
      <c r="K52" s="112">
        <f>SUM(K53:K69)</f>
        <v>28263.820120000004</v>
      </c>
      <c r="L52" s="112">
        <f>N52</f>
        <v>28263.820120000004</v>
      </c>
      <c r="M52" s="112">
        <v>0</v>
      </c>
      <c r="N52" s="112">
        <f>SUM(N53:N69)</f>
        <v>28263.820120000004</v>
      </c>
      <c r="O52" s="80">
        <f t="shared" si="11"/>
        <v>0.92567197518774591</v>
      </c>
      <c r="P52" s="80">
        <f t="shared" si="12"/>
        <v>0.92567197518774591</v>
      </c>
    </row>
    <row r="53" spans="1:16" s="2" customFormat="1" ht="31.5" customHeight="1" x14ac:dyDescent="0.25">
      <c r="A53" s="76" t="s">
        <v>200</v>
      </c>
      <c r="B53" s="97" t="s">
        <v>103</v>
      </c>
      <c r="C53" s="78" t="s">
        <v>77</v>
      </c>
      <c r="D53" s="78" t="s">
        <v>40</v>
      </c>
      <c r="E53" s="88">
        <f t="shared" ref="E53:E69" si="20">H53</f>
        <v>743.5</v>
      </c>
      <c r="F53" s="88"/>
      <c r="G53" s="88" t="s">
        <v>19</v>
      </c>
      <c r="H53" s="125">
        <v>743.5</v>
      </c>
      <c r="I53" s="88">
        <f t="shared" ref="I53:I69" si="21">K53</f>
        <v>728.15974000000006</v>
      </c>
      <c r="J53" s="88" t="s">
        <v>19</v>
      </c>
      <c r="K53" s="88">
        <v>728.15974000000006</v>
      </c>
      <c r="L53" s="88">
        <f t="shared" ref="L53:L69" si="22">N53</f>
        <v>728.15974000000006</v>
      </c>
      <c r="M53" s="88" t="s">
        <v>19</v>
      </c>
      <c r="N53" s="88">
        <f t="shared" ref="N53:N69" si="23">K53</f>
        <v>728.15974000000006</v>
      </c>
      <c r="O53" s="79">
        <f t="shared" si="11"/>
        <v>0.97936750504371228</v>
      </c>
      <c r="P53" s="79">
        <f t="shared" si="12"/>
        <v>0.97936750504371228</v>
      </c>
    </row>
    <row r="54" spans="1:16" s="2" customFormat="1" ht="31.5" customHeight="1" x14ac:dyDescent="0.25">
      <c r="A54" s="76" t="s">
        <v>201</v>
      </c>
      <c r="B54" s="97" t="s">
        <v>64</v>
      </c>
      <c r="C54" s="78" t="s">
        <v>77</v>
      </c>
      <c r="D54" s="78" t="s">
        <v>40</v>
      </c>
      <c r="E54" s="88">
        <f t="shared" si="20"/>
        <v>2983.8</v>
      </c>
      <c r="F54" s="88"/>
      <c r="G54" s="88" t="s">
        <v>19</v>
      </c>
      <c r="H54" s="125">
        <v>2983.8</v>
      </c>
      <c r="I54" s="88">
        <f t="shared" si="21"/>
        <v>2524.87428</v>
      </c>
      <c r="J54" s="88" t="s">
        <v>19</v>
      </c>
      <c r="K54" s="88">
        <v>2524.87428</v>
      </c>
      <c r="L54" s="88">
        <f t="shared" si="22"/>
        <v>2524.87428</v>
      </c>
      <c r="M54" s="88" t="s">
        <v>19</v>
      </c>
      <c r="N54" s="88">
        <f t="shared" si="23"/>
        <v>2524.87428</v>
      </c>
      <c r="O54" s="79">
        <f t="shared" si="11"/>
        <v>0.84619420872712647</v>
      </c>
      <c r="P54" s="79">
        <f t="shared" si="12"/>
        <v>0.84619420872712647</v>
      </c>
    </row>
    <row r="55" spans="1:16" s="2" customFormat="1" ht="31.5" customHeight="1" x14ac:dyDescent="0.25">
      <c r="A55" s="76" t="s">
        <v>202</v>
      </c>
      <c r="B55" s="97" t="s">
        <v>65</v>
      </c>
      <c r="C55" s="78" t="s">
        <v>77</v>
      </c>
      <c r="D55" s="78" t="s">
        <v>40</v>
      </c>
      <c r="E55" s="88">
        <f t="shared" si="20"/>
        <v>4363.3</v>
      </c>
      <c r="F55" s="88"/>
      <c r="G55" s="88" t="s">
        <v>19</v>
      </c>
      <c r="H55" s="125">
        <v>4363.3</v>
      </c>
      <c r="I55" s="88">
        <f t="shared" si="21"/>
        <v>4363.2876500000002</v>
      </c>
      <c r="J55" s="88" t="s">
        <v>19</v>
      </c>
      <c r="K55" s="88">
        <v>4363.2876500000002</v>
      </c>
      <c r="L55" s="88">
        <f t="shared" si="22"/>
        <v>4363.2876500000002</v>
      </c>
      <c r="M55" s="88" t="s">
        <v>19</v>
      </c>
      <c r="N55" s="88">
        <f t="shared" si="23"/>
        <v>4363.2876500000002</v>
      </c>
      <c r="O55" s="79">
        <f t="shared" si="11"/>
        <v>0.99999716957348794</v>
      </c>
      <c r="P55" s="79">
        <f t="shared" si="12"/>
        <v>0.99999716957348794</v>
      </c>
    </row>
    <row r="56" spans="1:16" s="2" customFormat="1" ht="31.5" customHeight="1" x14ac:dyDescent="0.25">
      <c r="A56" s="76" t="s">
        <v>203</v>
      </c>
      <c r="B56" s="97" t="s">
        <v>66</v>
      </c>
      <c r="C56" s="78" t="s">
        <v>77</v>
      </c>
      <c r="D56" s="78" t="s">
        <v>40</v>
      </c>
      <c r="E56" s="88">
        <f t="shared" si="20"/>
        <v>682.9</v>
      </c>
      <c r="F56" s="88"/>
      <c r="G56" s="88" t="s">
        <v>19</v>
      </c>
      <c r="H56" s="125">
        <v>682.9</v>
      </c>
      <c r="I56" s="88">
        <f t="shared" si="21"/>
        <v>679.84136999999998</v>
      </c>
      <c r="J56" s="88" t="s">
        <v>19</v>
      </c>
      <c r="K56" s="88">
        <v>679.84136999999998</v>
      </c>
      <c r="L56" s="88">
        <f t="shared" si="22"/>
        <v>679.84136999999998</v>
      </c>
      <c r="M56" s="88" t="s">
        <v>19</v>
      </c>
      <c r="N56" s="88">
        <f t="shared" si="23"/>
        <v>679.84136999999998</v>
      </c>
      <c r="O56" s="79">
        <f t="shared" si="11"/>
        <v>0.9955211158295505</v>
      </c>
      <c r="P56" s="79">
        <f t="shared" si="12"/>
        <v>0.9955211158295505</v>
      </c>
    </row>
    <row r="57" spans="1:16" s="2" customFormat="1" ht="31.5" customHeight="1" x14ac:dyDescent="0.25">
      <c r="A57" s="76" t="s">
        <v>204</v>
      </c>
      <c r="B57" s="97" t="s">
        <v>80</v>
      </c>
      <c r="C57" s="78" t="s">
        <v>77</v>
      </c>
      <c r="D57" s="78" t="s">
        <v>40</v>
      </c>
      <c r="E57" s="88">
        <f t="shared" si="20"/>
        <v>874.5</v>
      </c>
      <c r="F57" s="88"/>
      <c r="G57" s="88" t="s">
        <v>19</v>
      </c>
      <c r="H57" s="125">
        <v>874.5</v>
      </c>
      <c r="I57" s="88">
        <f t="shared" si="21"/>
        <v>500.02438999999998</v>
      </c>
      <c r="J57" s="88" t="s">
        <v>19</v>
      </c>
      <c r="K57" s="88">
        <v>500.02438999999998</v>
      </c>
      <c r="L57" s="88">
        <f t="shared" si="22"/>
        <v>500.02438999999998</v>
      </c>
      <c r="M57" s="88" t="s">
        <v>19</v>
      </c>
      <c r="N57" s="88">
        <f t="shared" si="23"/>
        <v>500.02438999999998</v>
      </c>
      <c r="O57" s="79">
        <f t="shared" si="11"/>
        <v>0.57178317895940534</v>
      </c>
      <c r="P57" s="79">
        <f t="shared" si="12"/>
        <v>0.57178317895940534</v>
      </c>
    </row>
    <row r="58" spans="1:16" s="2" customFormat="1" ht="31.5" customHeight="1" x14ac:dyDescent="0.25">
      <c r="A58" s="76" t="s">
        <v>205</v>
      </c>
      <c r="B58" s="97" t="s">
        <v>67</v>
      </c>
      <c r="C58" s="78" t="s">
        <v>77</v>
      </c>
      <c r="D58" s="78" t="s">
        <v>40</v>
      </c>
      <c r="E58" s="88">
        <f t="shared" si="20"/>
        <v>1683</v>
      </c>
      <c r="F58" s="88"/>
      <c r="G58" s="88" t="s">
        <v>19</v>
      </c>
      <c r="H58" s="125">
        <v>1683</v>
      </c>
      <c r="I58" s="88">
        <f t="shared" si="21"/>
        <v>1599.4739400000001</v>
      </c>
      <c r="J58" s="88" t="s">
        <v>19</v>
      </c>
      <c r="K58" s="88">
        <v>1599.4739400000001</v>
      </c>
      <c r="L58" s="88">
        <f t="shared" si="22"/>
        <v>1599.4739400000001</v>
      </c>
      <c r="M58" s="88" t="s">
        <v>19</v>
      </c>
      <c r="N58" s="88">
        <f t="shared" si="23"/>
        <v>1599.4739400000001</v>
      </c>
      <c r="O58" s="79">
        <f t="shared" si="11"/>
        <v>0.95037073083778967</v>
      </c>
      <c r="P58" s="79">
        <f t="shared" si="12"/>
        <v>0.95037073083778967</v>
      </c>
    </row>
    <row r="59" spans="1:16" s="2" customFormat="1" ht="31.5" customHeight="1" x14ac:dyDescent="0.25">
      <c r="A59" s="76" t="s">
        <v>206</v>
      </c>
      <c r="B59" s="97" t="s">
        <v>68</v>
      </c>
      <c r="C59" s="78" t="s">
        <v>77</v>
      </c>
      <c r="D59" s="78" t="s">
        <v>40</v>
      </c>
      <c r="E59" s="88">
        <f t="shared" si="20"/>
        <v>1104.9000000000001</v>
      </c>
      <c r="F59" s="88"/>
      <c r="G59" s="88" t="s">
        <v>19</v>
      </c>
      <c r="H59" s="125">
        <v>1104.9000000000001</v>
      </c>
      <c r="I59" s="88">
        <f t="shared" si="21"/>
        <v>906.04211999999995</v>
      </c>
      <c r="J59" s="88" t="s">
        <v>19</v>
      </c>
      <c r="K59" s="88">
        <v>906.04211999999995</v>
      </c>
      <c r="L59" s="88">
        <f t="shared" si="22"/>
        <v>906.04211999999995</v>
      </c>
      <c r="M59" s="88" t="s">
        <v>19</v>
      </c>
      <c r="N59" s="88">
        <f t="shared" si="23"/>
        <v>906.04211999999995</v>
      </c>
      <c r="O59" s="79">
        <f t="shared" si="11"/>
        <v>0.82002183002986684</v>
      </c>
      <c r="P59" s="79">
        <f t="shared" si="12"/>
        <v>0.82002183002986684</v>
      </c>
    </row>
    <row r="60" spans="1:16" s="2" customFormat="1" ht="31.5" customHeight="1" x14ac:dyDescent="0.25">
      <c r="A60" s="76" t="s">
        <v>207</v>
      </c>
      <c r="B60" s="97" t="s">
        <v>69</v>
      </c>
      <c r="C60" s="78" t="s">
        <v>77</v>
      </c>
      <c r="D60" s="78" t="s">
        <v>40</v>
      </c>
      <c r="E60" s="88">
        <f t="shared" si="20"/>
        <v>3986.6</v>
      </c>
      <c r="F60" s="88"/>
      <c r="G60" s="88" t="s">
        <v>19</v>
      </c>
      <c r="H60" s="125">
        <v>3986.6</v>
      </c>
      <c r="I60" s="88">
        <f t="shared" si="21"/>
        <v>3239.7692299999999</v>
      </c>
      <c r="J60" s="88" t="s">
        <v>19</v>
      </c>
      <c r="K60" s="88">
        <v>3239.7692299999999</v>
      </c>
      <c r="L60" s="88">
        <f t="shared" si="22"/>
        <v>3239.7692299999999</v>
      </c>
      <c r="M60" s="88" t="s">
        <v>19</v>
      </c>
      <c r="N60" s="88">
        <f t="shared" si="23"/>
        <v>3239.7692299999999</v>
      </c>
      <c r="O60" s="79">
        <f t="shared" si="11"/>
        <v>0.81266473436010633</v>
      </c>
      <c r="P60" s="79">
        <f t="shared" si="12"/>
        <v>0.81266473436010633</v>
      </c>
    </row>
    <row r="61" spans="1:16" s="2" customFormat="1" ht="31.5" customHeight="1" x14ac:dyDescent="0.25">
      <c r="A61" s="76" t="s">
        <v>208</v>
      </c>
      <c r="B61" s="97" t="s">
        <v>70</v>
      </c>
      <c r="C61" s="78" t="s">
        <v>77</v>
      </c>
      <c r="D61" s="78" t="s">
        <v>40</v>
      </c>
      <c r="E61" s="88">
        <f t="shared" si="20"/>
        <v>2810.1</v>
      </c>
      <c r="F61" s="88"/>
      <c r="G61" s="88" t="s">
        <v>19</v>
      </c>
      <c r="H61" s="125">
        <v>2810.1</v>
      </c>
      <c r="I61" s="88">
        <f t="shared" si="21"/>
        <v>2810.1</v>
      </c>
      <c r="J61" s="88" t="s">
        <v>19</v>
      </c>
      <c r="K61" s="88">
        <v>2810.1</v>
      </c>
      <c r="L61" s="88">
        <f t="shared" si="22"/>
        <v>2810.1</v>
      </c>
      <c r="M61" s="88" t="s">
        <v>19</v>
      </c>
      <c r="N61" s="88">
        <f t="shared" si="23"/>
        <v>2810.1</v>
      </c>
      <c r="O61" s="79">
        <f t="shared" si="11"/>
        <v>1</v>
      </c>
      <c r="P61" s="79">
        <f t="shared" si="12"/>
        <v>1</v>
      </c>
    </row>
    <row r="62" spans="1:16" s="2" customFormat="1" ht="31.5" customHeight="1" x14ac:dyDescent="0.25">
      <c r="A62" s="76" t="s">
        <v>209</v>
      </c>
      <c r="B62" s="97" t="s">
        <v>81</v>
      </c>
      <c r="C62" s="78" t="s">
        <v>77</v>
      </c>
      <c r="D62" s="78" t="s">
        <v>40</v>
      </c>
      <c r="E62" s="88">
        <f t="shared" si="20"/>
        <v>357.7</v>
      </c>
      <c r="F62" s="88"/>
      <c r="G62" s="88" t="s">
        <v>19</v>
      </c>
      <c r="H62" s="125">
        <v>357.7</v>
      </c>
      <c r="I62" s="88">
        <f t="shared" si="21"/>
        <v>357.68459000000001</v>
      </c>
      <c r="J62" s="88" t="s">
        <v>19</v>
      </c>
      <c r="K62" s="88">
        <v>357.68459000000001</v>
      </c>
      <c r="L62" s="88">
        <f t="shared" si="22"/>
        <v>357.68459000000001</v>
      </c>
      <c r="M62" s="88" t="s">
        <v>19</v>
      </c>
      <c r="N62" s="88">
        <f t="shared" si="23"/>
        <v>357.68459000000001</v>
      </c>
      <c r="O62" s="79">
        <f t="shared" si="11"/>
        <v>0.99995691920603869</v>
      </c>
      <c r="P62" s="79">
        <f t="shared" si="12"/>
        <v>0.99995691920603869</v>
      </c>
    </row>
    <row r="63" spans="1:16" s="2" customFormat="1" ht="31.5" customHeight="1" x14ac:dyDescent="0.25">
      <c r="A63" s="76" t="s">
        <v>210</v>
      </c>
      <c r="B63" s="97" t="s">
        <v>82</v>
      </c>
      <c r="C63" s="78" t="s">
        <v>77</v>
      </c>
      <c r="D63" s="78" t="s">
        <v>40</v>
      </c>
      <c r="E63" s="88">
        <f t="shared" si="20"/>
        <v>729.4</v>
      </c>
      <c r="F63" s="88"/>
      <c r="G63" s="88" t="s">
        <v>19</v>
      </c>
      <c r="H63" s="125">
        <v>729.4</v>
      </c>
      <c r="I63" s="88">
        <f t="shared" si="21"/>
        <v>600.82542000000001</v>
      </c>
      <c r="J63" s="88" t="s">
        <v>19</v>
      </c>
      <c r="K63" s="88">
        <v>600.82542000000001</v>
      </c>
      <c r="L63" s="88">
        <f t="shared" si="22"/>
        <v>600.82542000000001</v>
      </c>
      <c r="M63" s="88" t="s">
        <v>19</v>
      </c>
      <c r="N63" s="88">
        <f t="shared" si="23"/>
        <v>600.82542000000001</v>
      </c>
      <c r="O63" s="79">
        <f t="shared" si="11"/>
        <v>0.82372555525089119</v>
      </c>
      <c r="P63" s="79">
        <f t="shared" si="12"/>
        <v>0.82372555525089119</v>
      </c>
    </row>
    <row r="64" spans="1:16" s="2" customFormat="1" ht="31.5" customHeight="1" x14ac:dyDescent="0.25">
      <c r="A64" s="76" t="s">
        <v>211</v>
      </c>
      <c r="B64" s="97" t="s">
        <v>71</v>
      </c>
      <c r="C64" s="78" t="s">
        <v>77</v>
      </c>
      <c r="D64" s="78" t="s">
        <v>40</v>
      </c>
      <c r="E64" s="88">
        <f t="shared" si="20"/>
        <v>3748.4</v>
      </c>
      <c r="F64" s="88"/>
      <c r="G64" s="88" t="s">
        <v>19</v>
      </c>
      <c r="H64" s="125">
        <v>3748.4</v>
      </c>
      <c r="I64" s="88">
        <f t="shared" si="21"/>
        <v>3721.3907399999998</v>
      </c>
      <c r="J64" s="88" t="s">
        <v>19</v>
      </c>
      <c r="K64" s="88">
        <v>3721.3907399999998</v>
      </c>
      <c r="L64" s="88">
        <f t="shared" si="22"/>
        <v>3721.3907399999998</v>
      </c>
      <c r="M64" s="88" t="s">
        <v>19</v>
      </c>
      <c r="N64" s="88">
        <f t="shared" si="23"/>
        <v>3721.3907399999998</v>
      </c>
      <c r="O64" s="79">
        <f t="shared" si="11"/>
        <v>0.99279445630135521</v>
      </c>
      <c r="P64" s="79">
        <f t="shared" si="12"/>
        <v>0.99279445630135521</v>
      </c>
    </row>
    <row r="65" spans="1:16" s="2" customFormat="1" ht="31.5" customHeight="1" x14ac:dyDescent="0.25">
      <c r="A65" s="76" t="s">
        <v>212</v>
      </c>
      <c r="B65" s="97" t="s">
        <v>104</v>
      </c>
      <c r="C65" s="78" t="s">
        <v>77</v>
      </c>
      <c r="D65" s="78" t="s">
        <v>40</v>
      </c>
      <c r="E65" s="88">
        <f t="shared" si="20"/>
        <v>740.3</v>
      </c>
      <c r="F65" s="88"/>
      <c r="G65" s="88" t="s">
        <v>19</v>
      </c>
      <c r="H65" s="125">
        <v>740.3</v>
      </c>
      <c r="I65" s="88">
        <f t="shared" si="21"/>
        <v>740.25482999999997</v>
      </c>
      <c r="J65" s="88" t="s">
        <v>19</v>
      </c>
      <c r="K65" s="88">
        <v>740.25482999999997</v>
      </c>
      <c r="L65" s="88">
        <f t="shared" si="22"/>
        <v>740.25482999999997</v>
      </c>
      <c r="M65" s="88" t="s">
        <v>19</v>
      </c>
      <c r="N65" s="88">
        <f t="shared" si="23"/>
        <v>740.25482999999997</v>
      </c>
      <c r="O65" s="79">
        <f t="shared" si="11"/>
        <v>0.99993898419559635</v>
      </c>
      <c r="P65" s="79">
        <f t="shared" si="12"/>
        <v>0.99993898419559635</v>
      </c>
    </row>
    <row r="66" spans="1:16" s="2" customFormat="1" ht="31.5" customHeight="1" x14ac:dyDescent="0.25">
      <c r="A66" s="76" t="s">
        <v>213</v>
      </c>
      <c r="B66" s="97" t="s">
        <v>72</v>
      </c>
      <c r="C66" s="78" t="s">
        <v>77</v>
      </c>
      <c r="D66" s="78" t="s">
        <v>40</v>
      </c>
      <c r="E66" s="88">
        <f t="shared" si="20"/>
        <v>2029.5</v>
      </c>
      <c r="F66" s="88"/>
      <c r="G66" s="88" t="s">
        <v>19</v>
      </c>
      <c r="H66" s="125">
        <v>2029.5</v>
      </c>
      <c r="I66" s="88">
        <f t="shared" si="21"/>
        <v>1869.6275000000001</v>
      </c>
      <c r="J66" s="88" t="s">
        <v>19</v>
      </c>
      <c r="K66" s="88">
        <v>1869.6275000000001</v>
      </c>
      <c r="L66" s="88">
        <f t="shared" si="22"/>
        <v>1869.6275000000001</v>
      </c>
      <c r="M66" s="88" t="s">
        <v>19</v>
      </c>
      <c r="N66" s="88">
        <f t="shared" si="23"/>
        <v>1869.6275000000001</v>
      </c>
      <c r="O66" s="79">
        <f t="shared" si="11"/>
        <v>0.92122567134762257</v>
      </c>
      <c r="P66" s="79">
        <f t="shared" si="12"/>
        <v>0.92122567134762257</v>
      </c>
    </row>
    <row r="67" spans="1:16" s="2" customFormat="1" ht="31.5" customHeight="1" x14ac:dyDescent="0.25">
      <c r="A67" s="76" t="s">
        <v>214</v>
      </c>
      <c r="B67" s="97" t="s">
        <v>74</v>
      </c>
      <c r="C67" s="78" t="s">
        <v>77</v>
      </c>
      <c r="D67" s="78" t="s">
        <v>40</v>
      </c>
      <c r="E67" s="88">
        <f t="shared" si="20"/>
        <v>1289</v>
      </c>
      <c r="F67" s="88"/>
      <c r="G67" s="88" t="s">
        <v>19</v>
      </c>
      <c r="H67" s="125">
        <v>1289</v>
      </c>
      <c r="I67" s="88">
        <f t="shared" si="21"/>
        <v>1289</v>
      </c>
      <c r="J67" s="88" t="s">
        <v>19</v>
      </c>
      <c r="K67" s="88">
        <v>1289</v>
      </c>
      <c r="L67" s="88">
        <f t="shared" si="22"/>
        <v>1289</v>
      </c>
      <c r="M67" s="88" t="s">
        <v>19</v>
      </c>
      <c r="N67" s="88">
        <f t="shared" si="23"/>
        <v>1289</v>
      </c>
      <c r="O67" s="79">
        <f t="shared" si="11"/>
        <v>1</v>
      </c>
      <c r="P67" s="79">
        <f t="shared" si="12"/>
        <v>1</v>
      </c>
    </row>
    <row r="68" spans="1:16" s="2" customFormat="1" ht="33" x14ac:dyDescent="0.25">
      <c r="A68" s="76" t="s">
        <v>215</v>
      </c>
      <c r="B68" s="97" t="s">
        <v>75</v>
      </c>
      <c r="C68" s="78" t="s">
        <v>77</v>
      </c>
      <c r="D68" s="78" t="s">
        <v>40</v>
      </c>
      <c r="E68" s="88">
        <f t="shared" si="20"/>
        <v>596.5</v>
      </c>
      <c r="F68" s="88"/>
      <c r="G68" s="88" t="s">
        <v>19</v>
      </c>
      <c r="H68" s="125">
        <v>596.5</v>
      </c>
      <c r="I68" s="88">
        <f t="shared" si="21"/>
        <v>523.56431999999995</v>
      </c>
      <c r="J68" s="88" t="s">
        <v>19</v>
      </c>
      <c r="K68" s="88">
        <v>523.56431999999995</v>
      </c>
      <c r="L68" s="88">
        <f t="shared" si="22"/>
        <v>523.56431999999995</v>
      </c>
      <c r="M68" s="88" t="s">
        <v>19</v>
      </c>
      <c r="N68" s="88">
        <f t="shared" si="23"/>
        <v>523.56431999999995</v>
      </c>
      <c r="O68" s="79">
        <f t="shared" si="11"/>
        <v>0.87772727577535614</v>
      </c>
      <c r="P68" s="79">
        <f t="shared" si="12"/>
        <v>0.87772727577535614</v>
      </c>
    </row>
    <row r="69" spans="1:16" s="2" customFormat="1" ht="33" x14ac:dyDescent="0.25">
      <c r="A69" s="76" t="s">
        <v>216</v>
      </c>
      <c r="B69" s="97" t="s">
        <v>76</v>
      </c>
      <c r="C69" s="78" t="s">
        <v>77</v>
      </c>
      <c r="D69" s="78" t="s">
        <v>40</v>
      </c>
      <c r="E69" s="88">
        <f t="shared" si="20"/>
        <v>1809.9</v>
      </c>
      <c r="F69" s="88"/>
      <c r="G69" s="88" t="s">
        <v>19</v>
      </c>
      <c r="H69" s="125">
        <v>1809.9</v>
      </c>
      <c r="I69" s="88">
        <f t="shared" si="21"/>
        <v>1809.9</v>
      </c>
      <c r="J69" s="88" t="s">
        <v>19</v>
      </c>
      <c r="K69" s="88">
        <v>1809.9</v>
      </c>
      <c r="L69" s="88">
        <f t="shared" si="22"/>
        <v>1809.9</v>
      </c>
      <c r="M69" s="88" t="s">
        <v>19</v>
      </c>
      <c r="N69" s="88">
        <f t="shared" si="23"/>
        <v>1809.9</v>
      </c>
      <c r="O69" s="79">
        <f t="shared" si="11"/>
        <v>1</v>
      </c>
      <c r="P69" s="79">
        <f t="shared" si="12"/>
        <v>1</v>
      </c>
    </row>
    <row r="70" spans="1:16" s="2" customFormat="1" ht="31.5" customHeight="1" x14ac:dyDescent="0.25">
      <c r="A70" s="76" t="s">
        <v>85</v>
      </c>
      <c r="B70" s="203" t="s">
        <v>146</v>
      </c>
      <c r="C70" s="203"/>
      <c r="D70" s="203"/>
      <c r="E70" s="112">
        <f>H70</f>
        <v>788.91233</v>
      </c>
      <c r="F70" s="112">
        <v>0</v>
      </c>
      <c r="G70" s="112">
        <v>0</v>
      </c>
      <c r="H70" s="112">
        <f>SUM(H71:H72)</f>
        <v>788.91233</v>
      </c>
      <c r="I70" s="112">
        <f t="shared" ref="I70:I74" si="24">K70</f>
        <v>788.91233</v>
      </c>
      <c r="J70" s="112">
        <v>0</v>
      </c>
      <c r="K70" s="112">
        <f>SUM(K71:K72)</f>
        <v>788.91233</v>
      </c>
      <c r="L70" s="112">
        <f t="shared" ref="L70:L74" si="25">N70</f>
        <v>788.91233</v>
      </c>
      <c r="M70" s="112">
        <v>0</v>
      </c>
      <c r="N70" s="112">
        <f>SUM(N71:N72)</f>
        <v>788.91233</v>
      </c>
      <c r="O70" s="80">
        <f t="shared" si="11"/>
        <v>1</v>
      </c>
      <c r="P70" s="80">
        <f t="shared" si="12"/>
        <v>1</v>
      </c>
    </row>
    <row r="71" spans="1:16" s="2" customFormat="1" ht="61.5" customHeight="1" x14ac:dyDescent="0.25">
      <c r="A71" s="76" t="s">
        <v>217</v>
      </c>
      <c r="B71" s="95" t="s">
        <v>147</v>
      </c>
      <c r="C71" s="78" t="s">
        <v>39</v>
      </c>
      <c r="D71" s="78" t="s">
        <v>40</v>
      </c>
      <c r="E71" s="88">
        <f t="shared" ref="E71:E72" si="26">H71</f>
        <v>495.61232999999999</v>
      </c>
      <c r="F71" s="88"/>
      <c r="G71" s="88" t="s">
        <v>19</v>
      </c>
      <c r="H71" s="88">
        <v>495.61232999999999</v>
      </c>
      <c r="I71" s="88">
        <f t="shared" si="24"/>
        <v>495.61232999999999</v>
      </c>
      <c r="J71" s="88" t="s">
        <v>19</v>
      </c>
      <c r="K71" s="88">
        <v>495.61232999999999</v>
      </c>
      <c r="L71" s="88">
        <f t="shared" si="25"/>
        <v>495.61232999999999</v>
      </c>
      <c r="M71" s="112" t="s">
        <v>19</v>
      </c>
      <c r="N71" s="88">
        <v>495.61232999999999</v>
      </c>
      <c r="O71" s="79">
        <f t="shared" si="11"/>
        <v>1</v>
      </c>
      <c r="P71" s="79">
        <f t="shared" si="12"/>
        <v>1</v>
      </c>
    </row>
    <row r="72" spans="1:16" s="2" customFormat="1" ht="61.5" customHeight="1" x14ac:dyDescent="0.25">
      <c r="A72" s="76" t="s">
        <v>450</v>
      </c>
      <c r="B72" s="95" t="s">
        <v>451</v>
      </c>
      <c r="C72" s="78" t="s">
        <v>77</v>
      </c>
      <c r="D72" s="78" t="s">
        <v>40</v>
      </c>
      <c r="E72" s="88">
        <f t="shared" si="26"/>
        <v>293.3</v>
      </c>
      <c r="F72" s="88"/>
      <c r="G72" s="88" t="s">
        <v>19</v>
      </c>
      <c r="H72" s="88">
        <v>293.3</v>
      </c>
      <c r="I72" s="88">
        <f>K72</f>
        <v>293.3</v>
      </c>
      <c r="J72" s="88" t="s">
        <v>19</v>
      </c>
      <c r="K72" s="88">
        <v>293.3</v>
      </c>
      <c r="L72" s="88">
        <f>N72</f>
        <v>293.3</v>
      </c>
      <c r="M72" s="112" t="s">
        <v>19</v>
      </c>
      <c r="N72" s="88">
        <f>K72</f>
        <v>293.3</v>
      </c>
      <c r="O72" s="79">
        <f t="shared" si="11"/>
        <v>1</v>
      </c>
      <c r="P72" s="79">
        <f t="shared" si="12"/>
        <v>1</v>
      </c>
    </row>
    <row r="73" spans="1:16" s="2" customFormat="1" ht="31.5" customHeight="1" x14ac:dyDescent="0.25">
      <c r="A73" s="81"/>
      <c r="B73" s="203" t="s">
        <v>148</v>
      </c>
      <c r="C73" s="203"/>
      <c r="D73" s="203"/>
      <c r="E73" s="112">
        <f>H73</f>
        <v>16854.100000000002</v>
      </c>
      <c r="F73" s="112">
        <v>0</v>
      </c>
      <c r="G73" s="112">
        <v>0</v>
      </c>
      <c r="H73" s="112">
        <f>SUM(H74:H75)</f>
        <v>16854.100000000002</v>
      </c>
      <c r="I73" s="112">
        <f t="shared" si="24"/>
        <v>16836.325949999999</v>
      </c>
      <c r="J73" s="112">
        <v>0</v>
      </c>
      <c r="K73" s="112">
        <f>SUM(K74:K75)</f>
        <v>16836.325949999999</v>
      </c>
      <c r="L73" s="112">
        <f t="shared" si="25"/>
        <v>16836.325949999999</v>
      </c>
      <c r="M73" s="112">
        <v>0</v>
      </c>
      <c r="N73" s="112">
        <f>SUM(N74:N75)</f>
        <v>16836.325949999999</v>
      </c>
      <c r="O73" s="80">
        <f t="shared" si="11"/>
        <v>0.99894541684219251</v>
      </c>
      <c r="P73" s="80">
        <f t="shared" si="12"/>
        <v>0.99894541684219251</v>
      </c>
    </row>
    <row r="74" spans="1:16" s="2" customFormat="1" ht="89.25" customHeight="1" x14ac:dyDescent="0.25">
      <c r="A74" s="76" t="s">
        <v>174</v>
      </c>
      <c r="B74" s="97" t="s">
        <v>149</v>
      </c>
      <c r="C74" s="78" t="s">
        <v>39</v>
      </c>
      <c r="D74" s="83" t="s">
        <v>3</v>
      </c>
      <c r="E74" s="88">
        <f t="shared" ref="E74" si="27">H74</f>
        <v>16782.400000000001</v>
      </c>
      <c r="F74" s="88"/>
      <c r="G74" s="88" t="s">
        <v>19</v>
      </c>
      <c r="H74" s="122">
        <v>16782.400000000001</v>
      </c>
      <c r="I74" s="88">
        <f t="shared" si="24"/>
        <v>16782.350459999998</v>
      </c>
      <c r="J74" s="88" t="s">
        <v>19</v>
      </c>
      <c r="K74" s="122">
        <f>14830.69466+1951.6558</f>
        <v>16782.350459999998</v>
      </c>
      <c r="L74" s="88">
        <f t="shared" si="25"/>
        <v>16782.350459999998</v>
      </c>
      <c r="M74" s="112" t="s">
        <v>19</v>
      </c>
      <c r="N74" s="88">
        <f>K74</f>
        <v>16782.350459999998</v>
      </c>
      <c r="O74" s="79">
        <f t="shared" si="11"/>
        <v>0.99999704809800727</v>
      </c>
      <c r="P74" s="79">
        <f t="shared" si="12"/>
        <v>0.99999704809800727</v>
      </c>
    </row>
    <row r="75" spans="1:16" s="2" customFormat="1" ht="72.75" customHeight="1" x14ac:dyDescent="0.25">
      <c r="A75" s="76" t="s">
        <v>385</v>
      </c>
      <c r="B75" s="166" t="s">
        <v>401</v>
      </c>
      <c r="C75" s="78" t="s">
        <v>39</v>
      </c>
      <c r="D75" s="83" t="s">
        <v>3</v>
      </c>
      <c r="E75" s="88">
        <f t="shared" ref="E75" si="28">H75</f>
        <v>71.7</v>
      </c>
      <c r="F75" s="88"/>
      <c r="G75" s="88" t="s">
        <v>19</v>
      </c>
      <c r="H75" s="88">
        <v>71.7</v>
      </c>
      <c r="I75" s="88">
        <f t="shared" ref="I75" si="29">K75</f>
        <v>53.975490000000001</v>
      </c>
      <c r="J75" s="88" t="s">
        <v>19</v>
      </c>
      <c r="K75" s="122">
        <v>53.975490000000001</v>
      </c>
      <c r="L75" s="88">
        <f t="shared" ref="L75" si="30">N75</f>
        <v>53.975490000000001</v>
      </c>
      <c r="M75" s="112" t="s">
        <v>19</v>
      </c>
      <c r="N75" s="88">
        <f>K75</f>
        <v>53.975490000000001</v>
      </c>
      <c r="O75" s="79">
        <f t="shared" si="11"/>
        <v>0.75279623430962339</v>
      </c>
      <c r="P75" s="79">
        <f t="shared" si="12"/>
        <v>0.75279623430962339</v>
      </c>
    </row>
    <row r="76" spans="1:16" s="2" customFormat="1" ht="31.5" customHeight="1" x14ac:dyDescent="0.25">
      <c r="A76" s="81"/>
      <c r="B76" s="203" t="s">
        <v>150</v>
      </c>
      <c r="C76" s="203"/>
      <c r="D76" s="203"/>
      <c r="E76" s="112">
        <f t="shared" ref="E76:G76" si="31">SUM(E77:E80)</f>
        <v>3938.1</v>
      </c>
      <c r="F76" s="112">
        <f t="shared" si="31"/>
        <v>0</v>
      </c>
      <c r="G76" s="112">
        <f t="shared" si="31"/>
        <v>0</v>
      </c>
      <c r="H76" s="112">
        <f>SUM(H77:H80)</f>
        <v>3938.1</v>
      </c>
      <c r="I76" s="112">
        <f t="shared" ref="I76:N76" si="32">SUM(I77:I80)</f>
        <v>3420.47937</v>
      </c>
      <c r="J76" s="112">
        <f t="shared" si="32"/>
        <v>0</v>
      </c>
      <c r="K76" s="112">
        <f t="shared" si="32"/>
        <v>3420.47937</v>
      </c>
      <c r="L76" s="112">
        <f t="shared" si="32"/>
        <v>3420.47937</v>
      </c>
      <c r="M76" s="112">
        <f t="shared" si="32"/>
        <v>0</v>
      </c>
      <c r="N76" s="112">
        <f t="shared" si="32"/>
        <v>3420.47937</v>
      </c>
      <c r="O76" s="80">
        <f t="shared" si="11"/>
        <v>0.86856082120819689</v>
      </c>
      <c r="P76" s="80">
        <f t="shared" si="12"/>
        <v>0.86856082120819689</v>
      </c>
    </row>
    <row r="77" spans="1:16" s="2" customFormat="1" ht="61.5" customHeight="1" x14ac:dyDescent="0.25">
      <c r="A77" s="76" t="s">
        <v>175</v>
      </c>
      <c r="B77" s="97" t="s">
        <v>151</v>
      </c>
      <c r="C77" s="78" t="s">
        <v>39</v>
      </c>
      <c r="D77" s="83" t="s">
        <v>3</v>
      </c>
      <c r="E77" s="88">
        <f t="shared" ref="E77:E80" si="33">H77</f>
        <v>97.6</v>
      </c>
      <c r="F77" s="88"/>
      <c r="G77" s="88" t="s">
        <v>19</v>
      </c>
      <c r="H77" s="88">
        <v>97.6</v>
      </c>
      <c r="I77" s="88">
        <f t="shared" ref="I77:I78" si="34">K77</f>
        <v>97.572000000000003</v>
      </c>
      <c r="J77" s="88" t="s">
        <v>19</v>
      </c>
      <c r="K77" s="88">
        <v>97.572000000000003</v>
      </c>
      <c r="L77" s="88">
        <f t="shared" ref="L77:L78" si="35">N77</f>
        <v>97.572000000000003</v>
      </c>
      <c r="M77" s="112" t="s">
        <v>19</v>
      </c>
      <c r="N77" s="88">
        <v>97.572000000000003</v>
      </c>
      <c r="O77" s="79">
        <f t="shared" si="11"/>
        <v>0.99971311475409841</v>
      </c>
      <c r="P77" s="79">
        <f t="shared" si="12"/>
        <v>0.99971311475409841</v>
      </c>
    </row>
    <row r="78" spans="1:16" s="2" customFormat="1" ht="61.5" customHeight="1" x14ac:dyDescent="0.25">
      <c r="A78" s="76" t="s">
        <v>176</v>
      </c>
      <c r="B78" s="99" t="s">
        <v>152</v>
      </c>
      <c r="C78" s="78" t="s">
        <v>39</v>
      </c>
      <c r="D78" s="83" t="s">
        <v>3</v>
      </c>
      <c r="E78" s="88">
        <f t="shared" si="33"/>
        <v>3408.2</v>
      </c>
      <c r="F78" s="88"/>
      <c r="G78" s="88" t="s">
        <v>19</v>
      </c>
      <c r="H78" s="88">
        <v>3408.2</v>
      </c>
      <c r="I78" s="88">
        <f t="shared" si="34"/>
        <v>3322.9073699999999</v>
      </c>
      <c r="J78" s="88" t="s">
        <v>19</v>
      </c>
      <c r="K78" s="88">
        <v>3322.9073699999999</v>
      </c>
      <c r="L78" s="88">
        <f t="shared" si="35"/>
        <v>3322.9073699999999</v>
      </c>
      <c r="M78" s="112" t="s">
        <v>19</v>
      </c>
      <c r="N78" s="88">
        <f>K78</f>
        <v>3322.9073699999999</v>
      </c>
      <c r="O78" s="79">
        <f t="shared" si="11"/>
        <v>0.97497428848072298</v>
      </c>
      <c r="P78" s="79">
        <f t="shared" si="12"/>
        <v>0.97497428848072298</v>
      </c>
    </row>
    <row r="79" spans="1:16" s="2" customFormat="1" ht="61.5" customHeight="1" x14ac:dyDescent="0.25">
      <c r="A79" s="76" t="s">
        <v>177</v>
      </c>
      <c r="B79" s="165" t="s">
        <v>299</v>
      </c>
      <c r="C79" s="78" t="s">
        <v>39</v>
      </c>
      <c r="D79" s="83" t="s">
        <v>3</v>
      </c>
      <c r="E79" s="88">
        <f t="shared" si="33"/>
        <v>72</v>
      </c>
      <c r="F79" s="88"/>
      <c r="G79" s="88" t="s">
        <v>19</v>
      </c>
      <c r="H79" s="88">
        <v>72</v>
      </c>
      <c r="I79" s="88" t="s">
        <v>19</v>
      </c>
      <c r="J79" s="88" t="s">
        <v>19</v>
      </c>
      <c r="K79" s="88" t="s">
        <v>19</v>
      </c>
      <c r="L79" s="88" t="s">
        <v>19</v>
      </c>
      <c r="M79" s="88" t="s">
        <v>19</v>
      </c>
      <c r="N79" s="88" t="s">
        <v>19</v>
      </c>
      <c r="O79" s="79" t="s">
        <v>19</v>
      </c>
      <c r="P79" s="79" t="s">
        <v>19</v>
      </c>
    </row>
    <row r="80" spans="1:16" s="2" customFormat="1" ht="61.5" customHeight="1" x14ac:dyDescent="0.25">
      <c r="A80" s="76" t="s">
        <v>235</v>
      </c>
      <c r="B80" s="165" t="s">
        <v>452</v>
      </c>
      <c r="C80" s="78" t="s">
        <v>77</v>
      </c>
      <c r="D80" s="78" t="s">
        <v>40</v>
      </c>
      <c r="E80" s="88">
        <f t="shared" si="33"/>
        <v>360.3</v>
      </c>
      <c r="F80" s="88"/>
      <c r="G80" s="88" t="s">
        <v>19</v>
      </c>
      <c r="H80" s="88">
        <v>360.3</v>
      </c>
      <c r="I80" s="88" t="s">
        <v>19</v>
      </c>
      <c r="J80" s="88" t="s">
        <v>19</v>
      </c>
      <c r="K80" s="88" t="s">
        <v>19</v>
      </c>
      <c r="L80" s="88" t="s">
        <v>19</v>
      </c>
      <c r="M80" s="88" t="s">
        <v>19</v>
      </c>
      <c r="N80" s="88" t="s">
        <v>19</v>
      </c>
      <c r="O80" s="79" t="s">
        <v>19</v>
      </c>
      <c r="P80" s="79" t="s">
        <v>19</v>
      </c>
    </row>
    <row r="81" spans="1:16" s="2" customFormat="1" ht="60" customHeight="1" x14ac:dyDescent="0.25">
      <c r="A81" s="81"/>
      <c r="B81" s="203" t="s">
        <v>153</v>
      </c>
      <c r="C81" s="203"/>
      <c r="D81" s="203"/>
      <c r="E81" s="112">
        <f t="shared" ref="E81:E82" si="36">H81</f>
        <v>200</v>
      </c>
      <c r="F81" s="112">
        <v>0</v>
      </c>
      <c r="G81" s="112">
        <v>0</v>
      </c>
      <c r="H81" s="112">
        <f>SUM(H82)</f>
        <v>200</v>
      </c>
      <c r="I81" s="112">
        <f>K81</f>
        <v>200</v>
      </c>
      <c r="J81" s="112">
        <v>0</v>
      </c>
      <c r="K81" s="112">
        <f>SUM(K82)</f>
        <v>200</v>
      </c>
      <c r="L81" s="112">
        <f>N81</f>
        <v>200</v>
      </c>
      <c r="M81" s="112">
        <v>0</v>
      </c>
      <c r="N81" s="112">
        <f>SUM(N82)</f>
        <v>200</v>
      </c>
      <c r="O81" s="80">
        <f t="shared" ref="O81:O95" si="37">I81/E81</f>
        <v>1</v>
      </c>
      <c r="P81" s="80">
        <f t="shared" ref="P81:P95" si="38">L81/E81</f>
        <v>1</v>
      </c>
    </row>
    <row r="82" spans="1:16" s="2" customFormat="1" ht="61.5" customHeight="1" x14ac:dyDescent="0.25">
      <c r="A82" s="76" t="s">
        <v>178</v>
      </c>
      <c r="B82" s="95" t="s">
        <v>154</v>
      </c>
      <c r="C82" s="78" t="s">
        <v>39</v>
      </c>
      <c r="D82" s="78" t="s">
        <v>40</v>
      </c>
      <c r="E82" s="88">
        <f t="shared" si="36"/>
        <v>200</v>
      </c>
      <c r="F82" s="88"/>
      <c r="G82" s="88" t="s">
        <v>19</v>
      </c>
      <c r="H82" s="88">
        <v>200</v>
      </c>
      <c r="I82" s="88">
        <f>K82</f>
        <v>200</v>
      </c>
      <c r="J82" s="88" t="s">
        <v>19</v>
      </c>
      <c r="K82" s="88">
        <v>200</v>
      </c>
      <c r="L82" s="88">
        <f>N82</f>
        <v>200</v>
      </c>
      <c r="M82" s="112" t="s">
        <v>19</v>
      </c>
      <c r="N82" s="88">
        <v>200</v>
      </c>
      <c r="O82" s="79">
        <f t="shared" si="37"/>
        <v>1</v>
      </c>
      <c r="P82" s="79">
        <f t="shared" si="38"/>
        <v>1</v>
      </c>
    </row>
    <row r="83" spans="1:16" s="2" customFormat="1" ht="31.5" customHeight="1" x14ac:dyDescent="0.25">
      <c r="A83" s="81"/>
      <c r="B83" s="203" t="s">
        <v>155</v>
      </c>
      <c r="C83" s="203"/>
      <c r="D83" s="203"/>
      <c r="E83" s="112">
        <f t="shared" ref="E83:G83" si="39">SUM(E84:E89)</f>
        <v>1080.8</v>
      </c>
      <c r="F83" s="112">
        <f t="shared" si="39"/>
        <v>0</v>
      </c>
      <c r="G83" s="112">
        <f t="shared" si="39"/>
        <v>0</v>
      </c>
      <c r="H83" s="112">
        <f>SUM(H84:H89)</f>
        <v>1080.8</v>
      </c>
      <c r="I83" s="112">
        <f t="shared" ref="I83" si="40">SUM(I84:I89)</f>
        <v>959.67215999999996</v>
      </c>
      <c r="J83" s="112">
        <f t="shared" ref="J83" si="41">SUM(J84:J89)</f>
        <v>0</v>
      </c>
      <c r="K83" s="112">
        <f t="shared" ref="K83:L83" si="42">SUM(K84:K89)</f>
        <v>959.67215999999996</v>
      </c>
      <c r="L83" s="112">
        <f t="shared" si="42"/>
        <v>959.67215999999996</v>
      </c>
      <c r="M83" s="112">
        <f t="shared" ref="M83" si="43">SUM(M84:M89)</f>
        <v>0</v>
      </c>
      <c r="N83" s="112">
        <f t="shared" ref="N83" si="44">SUM(N84:N89)</f>
        <v>959.67215999999996</v>
      </c>
      <c r="O83" s="80">
        <f t="shared" si="37"/>
        <v>0.88792760917838642</v>
      </c>
      <c r="P83" s="80">
        <f t="shared" si="38"/>
        <v>0.88792760917838642</v>
      </c>
    </row>
    <row r="84" spans="1:16" s="2" customFormat="1" ht="69.75" customHeight="1" x14ac:dyDescent="0.25">
      <c r="A84" s="76" t="s">
        <v>179</v>
      </c>
      <c r="B84" s="95" t="s">
        <v>156</v>
      </c>
      <c r="C84" s="78" t="s">
        <v>39</v>
      </c>
      <c r="D84" s="78" t="s">
        <v>40</v>
      </c>
      <c r="E84" s="88">
        <f t="shared" ref="E84:E87" si="45">H84</f>
        <v>135</v>
      </c>
      <c r="F84" s="88"/>
      <c r="G84" s="88" t="s">
        <v>19</v>
      </c>
      <c r="H84" s="88">
        <v>135</v>
      </c>
      <c r="I84" s="88">
        <f t="shared" ref="I84:I85" si="46">K84</f>
        <v>135</v>
      </c>
      <c r="J84" s="88" t="s">
        <v>19</v>
      </c>
      <c r="K84" s="88">
        <v>135</v>
      </c>
      <c r="L84" s="88">
        <f t="shared" ref="L84:L85" si="47">N84</f>
        <v>135</v>
      </c>
      <c r="M84" s="112" t="s">
        <v>19</v>
      </c>
      <c r="N84" s="88">
        <v>135</v>
      </c>
      <c r="O84" s="79">
        <f t="shared" si="37"/>
        <v>1</v>
      </c>
      <c r="P84" s="79">
        <f t="shared" si="38"/>
        <v>1</v>
      </c>
    </row>
    <row r="85" spans="1:16" s="2" customFormat="1" ht="73.5" customHeight="1" x14ac:dyDescent="0.25">
      <c r="A85" s="76" t="s">
        <v>180</v>
      </c>
      <c r="B85" s="95" t="s">
        <v>157</v>
      </c>
      <c r="C85" s="78" t="s">
        <v>39</v>
      </c>
      <c r="D85" s="78" t="s">
        <v>40</v>
      </c>
      <c r="E85" s="88">
        <f t="shared" si="45"/>
        <v>342.5</v>
      </c>
      <c r="F85" s="88"/>
      <c r="G85" s="88" t="s">
        <v>19</v>
      </c>
      <c r="H85" s="122">
        <f>205.502+136.998</f>
        <v>342.5</v>
      </c>
      <c r="I85" s="88">
        <f t="shared" si="46"/>
        <v>342.5</v>
      </c>
      <c r="J85" s="88" t="s">
        <v>19</v>
      </c>
      <c r="K85" s="88">
        <f>136.998+205.502</f>
        <v>342.5</v>
      </c>
      <c r="L85" s="88">
        <f t="shared" si="47"/>
        <v>342.5</v>
      </c>
      <c r="M85" s="112" t="s">
        <v>19</v>
      </c>
      <c r="N85" s="88">
        <f>136.998+205.502</f>
        <v>342.5</v>
      </c>
      <c r="O85" s="79">
        <f t="shared" si="37"/>
        <v>1</v>
      </c>
      <c r="P85" s="79">
        <f>L85/E85</f>
        <v>1</v>
      </c>
    </row>
    <row r="86" spans="1:16" s="2" customFormat="1" ht="73.5" customHeight="1" x14ac:dyDescent="0.25">
      <c r="A86" s="76" t="s">
        <v>302</v>
      </c>
      <c r="B86" s="167" t="s">
        <v>300</v>
      </c>
      <c r="C86" s="78" t="s">
        <v>77</v>
      </c>
      <c r="D86" s="78" t="s">
        <v>40</v>
      </c>
      <c r="E86" s="88">
        <f t="shared" si="45"/>
        <v>20.399999999999999</v>
      </c>
      <c r="F86" s="88"/>
      <c r="G86" s="88" t="s">
        <v>19</v>
      </c>
      <c r="H86" s="88">
        <v>20.399999999999999</v>
      </c>
      <c r="I86" s="88">
        <f t="shared" ref="I86:I87" si="48">K86</f>
        <v>20.399999999999999</v>
      </c>
      <c r="J86" s="88" t="s">
        <v>19</v>
      </c>
      <c r="K86" s="88">
        <v>20.399999999999999</v>
      </c>
      <c r="L86" s="88">
        <f t="shared" ref="L86:L87" si="49">N86</f>
        <v>20.399999999999999</v>
      </c>
      <c r="M86" s="112" t="s">
        <v>19</v>
      </c>
      <c r="N86" s="88">
        <v>20.399999999999999</v>
      </c>
      <c r="O86" s="79">
        <f t="shared" si="37"/>
        <v>1</v>
      </c>
      <c r="P86" s="79">
        <f t="shared" si="38"/>
        <v>1</v>
      </c>
    </row>
    <row r="87" spans="1:16" s="2" customFormat="1" ht="85.5" customHeight="1" x14ac:dyDescent="0.25">
      <c r="A87" s="76" t="s">
        <v>303</v>
      </c>
      <c r="B87" s="167" t="s">
        <v>301</v>
      </c>
      <c r="C87" s="78" t="s">
        <v>39</v>
      </c>
      <c r="D87" s="78" t="s">
        <v>40</v>
      </c>
      <c r="E87" s="88">
        <f t="shared" si="45"/>
        <v>270</v>
      </c>
      <c r="F87" s="88"/>
      <c r="G87" s="88" t="s">
        <v>19</v>
      </c>
      <c r="H87" s="122">
        <f>5+265</f>
        <v>270</v>
      </c>
      <c r="I87" s="88">
        <f t="shared" si="48"/>
        <v>265</v>
      </c>
      <c r="J87" s="88" t="s">
        <v>19</v>
      </c>
      <c r="K87" s="88">
        <v>265</v>
      </c>
      <c r="L87" s="88">
        <f t="shared" si="49"/>
        <v>265</v>
      </c>
      <c r="M87" s="112" t="s">
        <v>19</v>
      </c>
      <c r="N87" s="88">
        <v>265</v>
      </c>
      <c r="O87" s="79">
        <f t="shared" si="37"/>
        <v>0.98148148148148151</v>
      </c>
      <c r="P87" s="79">
        <f t="shared" si="38"/>
        <v>0.98148148148148151</v>
      </c>
    </row>
    <row r="88" spans="1:16" s="2" customFormat="1" ht="73.5" customHeight="1" x14ac:dyDescent="0.25">
      <c r="A88" s="76" t="s">
        <v>395</v>
      </c>
      <c r="B88" s="167" t="s">
        <v>396</v>
      </c>
      <c r="C88" s="78" t="s">
        <v>39</v>
      </c>
      <c r="D88" s="78" t="s">
        <v>40</v>
      </c>
      <c r="E88" s="88">
        <f t="shared" ref="E88" si="50">H88</f>
        <v>165.39999999999998</v>
      </c>
      <c r="F88" s="88"/>
      <c r="G88" s="88" t="s">
        <v>19</v>
      </c>
      <c r="H88" s="122">
        <f>128.62784+36.77216</f>
        <v>165.39999999999998</v>
      </c>
      <c r="I88" s="88">
        <f t="shared" ref="I88" si="51">K88</f>
        <v>156.77215999999999</v>
      </c>
      <c r="J88" s="88" t="s">
        <v>19</v>
      </c>
      <c r="K88" s="122">
        <f>36.77216+120</f>
        <v>156.77215999999999</v>
      </c>
      <c r="L88" s="88">
        <f t="shared" ref="L88:L89" si="52">N88</f>
        <v>156.77215999999999</v>
      </c>
      <c r="M88" s="112" t="s">
        <v>19</v>
      </c>
      <c r="N88" s="88">
        <f>36.77216+120</f>
        <v>156.77215999999999</v>
      </c>
      <c r="O88" s="79">
        <f t="shared" si="37"/>
        <v>0.94783651753325271</v>
      </c>
      <c r="P88" s="79">
        <f t="shared" si="38"/>
        <v>0.94783651753325271</v>
      </c>
    </row>
    <row r="89" spans="1:16" s="2" customFormat="1" ht="73.5" customHeight="1" x14ac:dyDescent="0.25">
      <c r="A89" s="76" t="s">
        <v>453</v>
      </c>
      <c r="B89" s="165" t="s">
        <v>454</v>
      </c>
      <c r="C89" s="78" t="s">
        <v>77</v>
      </c>
      <c r="D89" s="78" t="s">
        <v>3</v>
      </c>
      <c r="E89" s="88">
        <f>H89</f>
        <v>147.5</v>
      </c>
      <c r="F89" s="88"/>
      <c r="G89" s="88" t="s">
        <v>19</v>
      </c>
      <c r="H89" s="122">
        <v>147.5</v>
      </c>
      <c r="I89" s="88">
        <f>K89</f>
        <v>40</v>
      </c>
      <c r="J89" s="88" t="s">
        <v>19</v>
      </c>
      <c r="K89" s="88">
        <v>40</v>
      </c>
      <c r="L89" s="88">
        <f t="shared" si="52"/>
        <v>40</v>
      </c>
      <c r="M89" s="112" t="s">
        <v>19</v>
      </c>
      <c r="N89" s="88">
        <f>K89</f>
        <v>40</v>
      </c>
      <c r="O89" s="79">
        <f t="shared" si="37"/>
        <v>0.2711864406779661</v>
      </c>
      <c r="P89" s="79">
        <f t="shared" si="38"/>
        <v>0.2711864406779661</v>
      </c>
    </row>
    <row r="90" spans="1:16" s="2" customFormat="1" x14ac:dyDescent="0.25">
      <c r="A90" s="76"/>
      <c r="B90" s="219" t="s">
        <v>394</v>
      </c>
      <c r="C90" s="220"/>
      <c r="D90" s="221"/>
      <c r="E90" s="112">
        <f>H90</f>
        <v>51</v>
      </c>
      <c r="F90" s="112"/>
      <c r="G90" s="112">
        <v>0</v>
      </c>
      <c r="H90" s="112">
        <f t="shared" ref="H90:N90" si="53">SUM(H91:H91)</f>
        <v>51</v>
      </c>
      <c r="I90" s="112">
        <f t="shared" si="53"/>
        <v>51</v>
      </c>
      <c r="J90" s="112">
        <f t="shared" si="53"/>
        <v>0</v>
      </c>
      <c r="K90" s="112">
        <f t="shared" si="53"/>
        <v>51</v>
      </c>
      <c r="L90" s="112">
        <f t="shared" si="53"/>
        <v>51</v>
      </c>
      <c r="M90" s="112">
        <f t="shared" si="53"/>
        <v>0</v>
      </c>
      <c r="N90" s="112">
        <f t="shared" si="53"/>
        <v>51</v>
      </c>
      <c r="O90" s="80">
        <f t="shared" si="37"/>
        <v>1</v>
      </c>
      <c r="P90" s="80">
        <f t="shared" si="38"/>
        <v>1</v>
      </c>
    </row>
    <row r="91" spans="1:16" s="2" customFormat="1" ht="33" x14ac:dyDescent="0.25">
      <c r="A91" s="76" t="s">
        <v>304</v>
      </c>
      <c r="B91" s="97" t="s">
        <v>76</v>
      </c>
      <c r="C91" s="78" t="s">
        <v>77</v>
      </c>
      <c r="D91" s="78" t="s">
        <v>40</v>
      </c>
      <c r="E91" s="88">
        <f t="shared" ref="E91" si="54">H91</f>
        <v>51</v>
      </c>
      <c r="F91" s="88"/>
      <c r="G91" s="88" t="s">
        <v>19</v>
      </c>
      <c r="H91" s="88">
        <v>51</v>
      </c>
      <c r="I91" s="88">
        <f t="shared" ref="I91" si="55">K91</f>
        <v>51</v>
      </c>
      <c r="J91" s="88" t="s">
        <v>19</v>
      </c>
      <c r="K91" s="88">
        <v>51</v>
      </c>
      <c r="L91" s="88">
        <f t="shared" ref="L91" si="56">N91</f>
        <v>51</v>
      </c>
      <c r="M91" s="112" t="s">
        <v>19</v>
      </c>
      <c r="N91" s="88">
        <v>51</v>
      </c>
      <c r="O91" s="79">
        <f t="shared" si="37"/>
        <v>1</v>
      </c>
      <c r="P91" s="79">
        <f t="shared" si="38"/>
        <v>1</v>
      </c>
    </row>
    <row r="92" spans="1:16" s="2" customFormat="1" x14ac:dyDescent="0.25">
      <c r="A92" s="76"/>
      <c r="B92" s="219" t="s">
        <v>397</v>
      </c>
      <c r="C92" s="220"/>
      <c r="D92" s="221"/>
      <c r="E92" s="112">
        <f>H92</f>
        <v>1193.5</v>
      </c>
      <c r="F92" s="112">
        <f t="shared" ref="F92" si="57">F93</f>
        <v>0</v>
      </c>
      <c r="G92" s="112">
        <f t="shared" ref="G92:N92" si="58">SUM(G93:G94)</f>
        <v>0</v>
      </c>
      <c r="H92" s="112">
        <f t="shared" si="58"/>
        <v>1193.5</v>
      </c>
      <c r="I92" s="112">
        <f t="shared" si="58"/>
        <v>1193.42453</v>
      </c>
      <c r="J92" s="112">
        <f t="shared" si="58"/>
        <v>0</v>
      </c>
      <c r="K92" s="112">
        <f t="shared" si="58"/>
        <v>1193.42453</v>
      </c>
      <c r="L92" s="112">
        <f t="shared" si="58"/>
        <v>1193.42453</v>
      </c>
      <c r="M92" s="112">
        <f t="shared" si="58"/>
        <v>0</v>
      </c>
      <c r="N92" s="112">
        <f t="shared" si="58"/>
        <v>1193.42453</v>
      </c>
      <c r="O92" s="80">
        <f t="shared" si="37"/>
        <v>0.99993676581483038</v>
      </c>
      <c r="P92" s="80">
        <f t="shared" si="38"/>
        <v>0.99993676581483038</v>
      </c>
    </row>
    <row r="93" spans="1:16" s="2" customFormat="1" ht="82.5" x14ac:dyDescent="0.25">
      <c r="A93" s="76" t="s">
        <v>305</v>
      </c>
      <c r="B93" s="97" t="s">
        <v>398</v>
      </c>
      <c r="C93" s="78" t="s">
        <v>382</v>
      </c>
      <c r="D93" s="78" t="s">
        <v>40</v>
      </c>
      <c r="E93" s="88">
        <f>H93</f>
        <v>991.3</v>
      </c>
      <c r="F93" s="88"/>
      <c r="G93" s="88" t="s">
        <v>19</v>
      </c>
      <c r="H93" s="88">
        <v>991.3</v>
      </c>
      <c r="I93" s="88">
        <f t="shared" ref="I93" si="59">K93</f>
        <v>991.26372000000003</v>
      </c>
      <c r="J93" s="88" t="s">
        <v>19</v>
      </c>
      <c r="K93" s="88">
        <v>991.26372000000003</v>
      </c>
      <c r="L93" s="88">
        <f t="shared" ref="L93" si="60">N93</f>
        <v>991.26372000000003</v>
      </c>
      <c r="M93" s="112" t="s">
        <v>19</v>
      </c>
      <c r="N93" s="88">
        <f>K93</f>
        <v>991.26372000000003</v>
      </c>
      <c r="O93" s="79">
        <f t="shared" si="37"/>
        <v>0.99996340159386676</v>
      </c>
      <c r="P93" s="79">
        <f t="shared" si="38"/>
        <v>0.99996340159386676</v>
      </c>
    </row>
    <row r="94" spans="1:16" s="2" customFormat="1" ht="66.75" customHeight="1" x14ac:dyDescent="0.25">
      <c r="A94" s="76" t="s">
        <v>399</v>
      </c>
      <c r="B94" s="95" t="s">
        <v>400</v>
      </c>
      <c r="C94" s="78" t="s">
        <v>77</v>
      </c>
      <c r="D94" s="78" t="s">
        <v>40</v>
      </c>
      <c r="E94" s="88">
        <f>H94</f>
        <v>202.2</v>
      </c>
      <c r="F94" s="88"/>
      <c r="G94" s="88" t="s">
        <v>19</v>
      </c>
      <c r="H94" s="88">
        <v>202.2</v>
      </c>
      <c r="I94" s="88">
        <f t="shared" ref="I94" si="61">K94</f>
        <v>202.16081</v>
      </c>
      <c r="J94" s="88" t="s">
        <v>19</v>
      </c>
      <c r="K94" s="88">
        <v>202.16081</v>
      </c>
      <c r="L94" s="88">
        <f>N94</f>
        <v>202.16081</v>
      </c>
      <c r="M94" s="112" t="s">
        <v>19</v>
      </c>
      <c r="N94" s="88">
        <f>K94</f>
        <v>202.16081</v>
      </c>
      <c r="O94" s="79">
        <f t="shared" si="37"/>
        <v>0.99980618199802185</v>
      </c>
      <c r="P94" s="79">
        <f t="shared" si="38"/>
        <v>0.99980618199802185</v>
      </c>
    </row>
    <row r="95" spans="1:16" s="2" customFormat="1" x14ac:dyDescent="0.25">
      <c r="A95" s="83"/>
      <c r="B95" s="87" t="s">
        <v>2</v>
      </c>
      <c r="C95" s="87"/>
      <c r="D95" s="88"/>
      <c r="E95" s="112">
        <f>E6+E12+E31+E73+E76+E81+E83+E90+E92</f>
        <v>369720.50840999995</v>
      </c>
      <c r="F95" s="112">
        <f t="shared" ref="F95:N95" si="62">F6+F12+F31+F73+F76+F81+F83+F90+F92</f>
        <v>0</v>
      </c>
      <c r="G95" s="112">
        <f t="shared" si="62"/>
        <v>116611.6</v>
      </c>
      <c r="H95" s="112">
        <f t="shared" si="62"/>
        <v>253108.90841</v>
      </c>
      <c r="I95" s="112">
        <f t="shared" si="62"/>
        <v>342422.29712000006</v>
      </c>
      <c r="J95" s="112">
        <f t="shared" si="62"/>
        <v>115149.7</v>
      </c>
      <c r="K95" s="112">
        <f t="shared" si="62"/>
        <v>227272.59711999996</v>
      </c>
      <c r="L95" s="112">
        <f t="shared" si="62"/>
        <v>342422.30104000011</v>
      </c>
      <c r="M95" s="112">
        <f t="shared" si="62"/>
        <v>115149.7</v>
      </c>
      <c r="N95" s="112">
        <f t="shared" si="62"/>
        <v>227272.60103999998</v>
      </c>
      <c r="O95" s="80">
        <f t="shared" si="37"/>
        <v>0.92616527709702368</v>
      </c>
      <c r="P95" s="80">
        <f t="shared" si="38"/>
        <v>0.92616528769962736</v>
      </c>
    </row>
    <row r="97" ht="18.75" customHeight="1" x14ac:dyDescent="0.25"/>
    <row r="98" ht="18.75" customHeight="1" x14ac:dyDescent="0.25"/>
    <row r="101" ht="18.75" customHeight="1" x14ac:dyDescent="0.25"/>
    <row r="105" ht="18.75" customHeight="1" x14ac:dyDescent="0.25"/>
  </sheetData>
  <mergeCells count="26">
    <mergeCell ref="B90:D90"/>
    <mergeCell ref="B92:D92"/>
    <mergeCell ref="B70:D70"/>
    <mergeCell ref="B73:D73"/>
    <mergeCell ref="B76:D76"/>
    <mergeCell ref="B81:D81"/>
    <mergeCell ref="B83:D83"/>
    <mergeCell ref="B15:D15"/>
    <mergeCell ref="B27:D27"/>
    <mergeCell ref="B31:D31"/>
    <mergeCell ref="B32:D32"/>
    <mergeCell ref="B52:D52"/>
    <mergeCell ref="B6:D6"/>
    <mergeCell ref="B12:D12"/>
    <mergeCell ref="B13:D13"/>
    <mergeCell ref="A1:P1"/>
    <mergeCell ref="A2:P2"/>
    <mergeCell ref="D3:D4"/>
    <mergeCell ref="E3:H3"/>
    <mergeCell ref="I3:K3"/>
    <mergeCell ref="L3:N3"/>
    <mergeCell ref="O3:O4"/>
    <mergeCell ref="P3:P4"/>
    <mergeCell ref="C3:C4"/>
    <mergeCell ref="B3:B4"/>
    <mergeCell ref="A3:A4"/>
  </mergeCells>
  <pageMargins left="0.39370078740157483" right="0.39370078740157483" top="0.39370078740157483" bottom="0.39370078740157483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23</vt:i4>
      </vt:variant>
    </vt:vector>
  </HeadingPairs>
  <TitlesOfParts>
    <vt:vector size="36" baseType="lpstr">
      <vt:lpstr>Подпрограмма 1</vt:lpstr>
      <vt:lpstr>Подпрограмма 1(2)</vt:lpstr>
      <vt:lpstr>Подпрограмма 2</vt:lpstr>
      <vt:lpstr>Подпрограмма 2(2)</vt:lpstr>
      <vt:lpstr>Подпрограмма 3</vt:lpstr>
      <vt:lpstr>Подпрограмма 3 (2)</vt:lpstr>
      <vt:lpstr>Подпрограмма 4</vt:lpstr>
      <vt:lpstr>Подпрограмма 4 (2)</vt:lpstr>
      <vt:lpstr>Подпрограмма 5</vt:lpstr>
      <vt:lpstr>Подпрограмма 5 (2)</vt:lpstr>
      <vt:lpstr>Подпрограмма 6</vt:lpstr>
      <vt:lpstr>Подпрограмма 6 (2)</vt:lpstr>
      <vt:lpstr>Лист1</vt:lpstr>
      <vt:lpstr>'Подпрограмма 1'!Заголовки_для_печати</vt:lpstr>
      <vt:lpstr>'Подпрограмма 1(2)'!Заголовки_для_печати</vt:lpstr>
      <vt:lpstr>'Подпрограмма 2'!Заголовки_для_печати</vt:lpstr>
      <vt:lpstr>'Подпрограмма 2(2)'!Заголовки_для_печати</vt:lpstr>
      <vt:lpstr>'Подпрограмма 3'!Заголовки_для_печати</vt:lpstr>
      <vt:lpstr>'Подпрограмма 3 (2)'!Заголовки_для_печати</vt:lpstr>
      <vt:lpstr>'Подпрограмма 4'!Заголовки_для_печати</vt:lpstr>
      <vt:lpstr>'Подпрограмма 4 (2)'!Заголовки_для_печати</vt:lpstr>
      <vt:lpstr>'Подпрограмма 5'!Заголовки_для_печати</vt:lpstr>
      <vt:lpstr>'Подпрограмма 5 (2)'!Заголовки_для_печати</vt:lpstr>
      <vt:lpstr>'Подпрограмма 6'!Заголовки_для_печати</vt:lpstr>
      <vt:lpstr>'Подпрограмма 1'!Область_печати</vt:lpstr>
      <vt:lpstr>'Подпрограмма 1(2)'!Область_печати</vt:lpstr>
      <vt:lpstr>'Подпрограмма 2'!Область_печати</vt:lpstr>
      <vt:lpstr>'Подпрограмма 2(2)'!Область_печати</vt:lpstr>
      <vt:lpstr>'Подпрограмма 3'!Область_печати</vt:lpstr>
      <vt:lpstr>'Подпрограмма 3 (2)'!Область_печати</vt:lpstr>
      <vt:lpstr>'Подпрограмма 4'!Область_печати</vt:lpstr>
      <vt:lpstr>'Подпрограмма 4 (2)'!Область_печати</vt:lpstr>
      <vt:lpstr>'Подпрограмма 5'!Область_печати</vt:lpstr>
      <vt:lpstr>'Подпрограмма 5 (2)'!Область_печати</vt:lpstr>
      <vt:lpstr>'Подпрограмма 6'!Область_печати</vt:lpstr>
      <vt:lpstr>'Подпрограмма 6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Ружникова Оксана Павловна</cp:lastModifiedBy>
  <cp:lastPrinted>2018-03-20T12:27:24Z</cp:lastPrinted>
  <dcterms:created xsi:type="dcterms:W3CDTF">2015-07-01T06:08:23Z</dcterms:created>
  <dcterms:modified xsi:type="dcterms:W3CDTF">2018-03-20T12:27:26Z</dcterms:modified>
</cp:coreProperties>
</file>